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SITE\BAÇANCOS\"/>
    </mc:Choice>
  </mc:AlternateContent>
  <xr:revisionPtr revIDLastSave="0" documentId="13_ncr:1_{6EC02A58-9B67-463D-83F5-A58386A37930}" xr6:coauthVersionLast="47" xr6:coauthVersionMax="47" xr10:uidLastSave="{00000000-0000-0000-0000-000000000000}"/>
  <bookViews>
    <workbookView xWindow="-120" yWindow="-120" windowWidth="29040" windowHeight="15720" activeTab="4" xr2:uid="{9B5AB575-3DFE-490C-A454-579F187D9392}"/>
  </bookViews>
  <sheets>
    <sheet name="Balanço e DRE" sheetId="1" r:id="rId1"/>
    <sheet name="Demonstrativo Origens e Recurso" sheetId="2" r:id="rId2"/>
    <sheet name="Fluxo de Caixa" sheetId="3" r:id="rId3"/>
    <sheet name="Valor Adicionado" sheetId="4" r:id="rId4"/>
    <sheet name="Demons. Mutações do PL" sheetId="5" r:id="rId5"/>
  </sheets>
  <externalReferences>
    <externalReference r:id="rId6"/>
    <externalReference r:id="rId7"/>
    <externalReference r:id="rId8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" i="5" l="1"/>
  <c r="D10" i="5"/>
  <c r="D9" i="5"/>
  <c r="D13" i="5" s="1"/>
  <c r="B9" i="5"/>
  <c r="E9" i="5" s="1"/>
  <c r="D28" i="4"/>
  <c r="E28" i="4" s="1"/>
  <c r="D27" i="4"/>
  <c r="E27" i="4" s="1"/>
  <c r="D26" i="4"/>
  <c r="D17" i="4" s="1"/>
  <c r="E25" i="4"/>
  <c r="D25" i="4"/>
  <c r="D30" i="4" s="1"/>
  <c r="E30" i="4" s="1"/>
  <c r="D18" i="4"/>
  <c r="D16" i="4"/>
  <c r="D15" i="4"/>
  <c r="D20" i="4" s="1"/>
  <c r="E20" i="4" s="1"/>
  <c r="D12" i="4"/>
  <c r="E12" i="4" s="1"/>
  <c r="E10" i="4"/>
  <c r="D10" i="4"/>
  <c r="D9" i="4"/>
  <c r="E9" i="4" s="1"/>
  <c r="D8" i="4"/>
  <c r="E8" i="4" s="1"/>
  <c r="H41" i="2"/>
  <c r="H40" i="2"/>
  <c r="H42" i="2" s="1"/>
  <c r="F36" i="2"/>
  <c r="H36" i="2" s="1"/>
  <c r="F35" i="2"/>
  <c r="F37" i="2" s="1"/>
  <c r="H37" i="2" s="1"/>
  <c r="G24" i="2"/>
  <c r="G28" i="2" s="1"/>
  <c r="G23" i="2"/>
  <c r="G22" i="2"/>
  <c r="G16" i="2"/>
  <c r="G13" i="2"/>
  <c r="G10" i="2"/>
  <c r="G19" i="2" s="1"/>
  <c r="G29" i="2" s="1"/>
  <c r="I210" i="1"/>
  <c r="I208" i="1"/>
  <c r="F208" i="1"/>
  <c r="I206" i="1"/>
  <c r="F206" i="1"/>
  <c r="F204" i="1"/>
  <c r="F198" i="1"/>
  <c r="F195" i="1" s="1"/>
  <c r="G195" i="1" s="1"/>
  <c r="I195" i="1"/>
  <c r="F193" i="1"/>
  <c r="F194" i="1" s="1"/>
  <c r="I192" i="1"/>
  <c r="H190" i="1"/>
  <c r="F190" i="1"/>
  <c r="F185" i="1" s="1"/>
  <c r="G185" i="1" s="1"/>
  <c r="H185" i="1"/>
  <c r="I185" i="1" s="1"/>
  <c r="I184" i="1"/>
  <c r="I183" i="1"/>
  <c r="I182" i="1"/>
  <c r="I179" i="1"/>
  <c r="F179" i="1"/>
  <c r="I176" i="1"/>
  <c r="F176" i="1"/>
  <c r="I175" i="1"/>
  <c r="I174" i="1"/>
  <c r="I172" i="1"/>
  <c r="F172" i="1"/>
  <c r="G172" i="1" s="1"/>
  <c r="I171" i="1"/>
  <c r="I170" i="1"/>
  <c r="I169" i="1"/>
  <c r="I164" i="1"/>
  <c r="F164" i="1"/>
  <c r="F160" i="1" s="1"/>
  <c r="I163" i="1"/>
  <c r="I162" i="1"/>
  <c r="F161" i="1"/>
  <c r="I160" i="1"/>
  <c r="F98" i="1"/>
  <c r="I96" i="1"/>
  <c r="F96" i="1"/>
  <c r="F99" i="1" s="1"/>
  <c r="F92" i="1"/>
  <c r="I91" i="1"/>
  <c r="F91" i="1"/>
  <c r="F86" i="1"/>
  <c r="F82" i="1"/>
  <c r="I79" i="1"/>
  <c r="F79" i="1"/>
  <c r="I62" i="1"/>
  <c r="F59" i="1"/>
  <c r="F57" i="1" s="1"/>
  <c r="I57" i="1"/>
  <c r="F47" i="1"/>
  <c r="F45" i="1"/>
  <c r="F44" i="1"/>
  <c r="F43" i="1"/>
  <c r="I41" i="1"/>
  <c r="F41" i="1"/>
  <c r="F38" i="1"/>
  <c r="F34" i="1"/>
  <c r="I33" i="1"/>
  <c r="F31" i="1"/>
  <c r="I23" i="1"/>
  <c r="F23" i="1"/>
  <c r="F22" i="1"/>
  <c r="I13" i="1"/>
  <c r="F13" i="1"/>
  <c r="F10" i="1"/>
  <c r="F8" i="1" s="1"/>
  <c r="I8" i="1"/>
  <c r="I7" i="1"/>
  <c r="B13" i="5" l="1"/>
  <c r="E13" i="5" s="1"/>
  <c r="E18" i="4"/>
  <c r="E16" i="4"/>
  <c r="E17" i="4"/>
  <c r="D22" i="4"/>
  <c r="E15" i="4"/>
  <c r="E26" i="4"/>
  <c r="H35" i="2"/>
  <c r="G99" i="1"/>
  <c r="G91" i="1"/>
  <c r="F33" i="1"/>
  <c r="F175" i="1"/>
  <c r="G175" i="1" s="1"/>
  <c r="G170" i="1"/>
  <c r="G160" i="1"/>
  <c r="G162" i="1"/>
  <c r="G171" i="1"/>
  <c r="G184" i="1"/>
  <c r="G169" i="1"/>
  <c r="G183" i="1"/>
  <c r="F174" i="1"/>
  <c r="G182" i="1"/>
  <c r="G176" i="1"/>
  <c r="G163" i="1"/>
  <c r="G206" i="1"/>
  <c r="G208" i="1"/>
  <c r="G79" i="1"/>
  <c r="F7" i="1"/>
  <c r="G179" i="1"/>
  <c r="G96" i="1"/>
  <c r="G164" i="1"/>
  <c r="F62" i="1" l="1"/>
  <c r="G33" i="1"/>
  <c r="F192" i="1"/>
  <c r="G174" i="1"/>
  <c r="G41" i="1" l="1"/>
  <c r="G23" i="1"/>
  <c r="G62" i="1"/>
  <c r="G57" i="1"/>
  <c r="G8" i="1"/>
  <c r="G13" i="1"/>
  <c r="F210" i="1"/>
  <c r="G210" i="1" s="1"/>
  <c r="G192" i="1"/>
  <c r="G7" i="1"/>
</calcChain>
</file>

<file path=xl/sharedStrings.xml><?xml version="1.0" encoding="utf-8"?>
<sst xmlns="http://schemas.openxmlformats.org/spreadsheetml/2006/main" count="260" uniqueCount="197">
  <si>
    <t>HOSPITAL DE CARIDADE DE CARAZINHO</t>
  </si>
  <si>
    <t>CNPJ nº 88.450.234/0001-81</t>
  </si>
  <si>
    <t>BALANÇOS PATRIMONIAIS ENCERRADOS EM:</t>
  </si>
  <si>
    <t>ATIVO</t>
  </si>
  <si>
    <t>%</t>
  </si>
  <si>
    <t>Circulante</t>
  </si>
  <si>
    <t>Disponibilidades</t>
  </si>
  <si>
    <t>Caixa</t>
  </si>
  <si>
    <t>Bancos c/Movimento</t>
  </si>
  <si>
    <t>Banco Brasil - PRONOM</t>
  </si>
  <si>
    <t>Aplicações de Liquidez Imediata</t>
  </si>
  <si>
    <t>Créditos</t>
  </si>
  <si>
    <t>Notas Fiscais a Receber</t>
  </si>
  <si>
    <t>Cheques a Receber</t>
  </si>
  <si>
    <t>Títulos e Valores Mobiliários</t>
  </si>
  <si>
    <t>Convênios a Receber</t>
  </si>
  <si>
    <t>SUS  - Municipalização Plena Saúde</t>
  </si>
  <si>
    <t>Conv. Estadual Apoio ao SUS</t>
  </si>
  <si>
    <t>Adiantamento a Fornecedores</t>
  </si>
  <si>
    <t>Bloqueio Judicial PGFN</t>
  </si>
  <si>
    <t>Outros Créditos a Receber</t>
  </si>
  <si>
    <t>Estoques</t>
  </si>
  <si>
    <t>Materiais e Medicamentos</t>
  </si>
  <si>
    <t>Materiais de Sanificação</t>
  </si>
  <si>
    <t>Nutrição e Dietética</t>
  </si>
  <si>
    <t>Materiais de Lavagem e Costura</t>
  </si>
  <si>
    <t>Impressos</t>
  </si>
  <si>
    <t>Materiais de Expediente</t>
  </si>
  <si>
    <t>Materiais de Manutenção</t>
  </si>
  <si>
    <t>Despesas Exercícios Seguintes</t>
  </si>
  <si>
    <t>Despesas Exercício Seguinte C.P.</t>
  </si>
  <si>
    <t>Não Circulante</t>
  </si>
  <si>
    <t>Realizável a Longo Prazo</t>
  </si>
  <si>
    <t>Fundo de Reserva de Consórcios</t>
  </si>
  <si>
    <t>Outros Valores de Longo Prazo</t>
  </si>
  <si>
    <t>Despesas Exercício Seguinte L.P.</t>
  </si>
  <si>
    <t>Investimentos</t>
  </si>
  <si>
    <t>Ações Telefônica Brasil S.A.</t>
  </si>
  <si>
    <t>Cota Capital Unicred</t>
  </si>
  <si>
    <t>Imobilizado</t>
  </si>
  <si>
    <t>Terrenos</t>
  </si>
  <si>
    <t>Edificações Hospitalares</t>
  </si>
  <si>
    <t>Instalações</t>
  </si>
  <si>
    <t>Equipamentos</t>
  </si>
  <si>
    <t>Grupo Gerador</t>
  </si>
  <si>
    <t>Móveis e Utensílios</t>
  </si>
  <si>
    <t>Prog. Computador/ Equip. de Infor.</t>
  </si>
  <si>
    <t>Biblioteca</t>
  </si>
  <si>
    <t>Rouparia</t>
  </si>
  <si>
    <t>Elevadores</t>
  </si>
  <si>
    <t>Poços Artesianos</t>
  </si>
  <si>
    <t>Central de Ar Medicinal</t>
  </si>
  <si>
    <t>Estação de Tratamento Efluentes</t>
  </si>
  <si>
    <t>Veículos</t>
  </si>
  <si>
    <t>Consórcios</t>
  </si>
  <si>
    <t>Imóveis Bairro São Lucas</t>
  </si>
  <si>
    <t>Imóveis</t>
  </si>
  <si>
    <t>( - ) Depreciação Acumulada de Bens</t>
  </si>
  <si>
    <t>TOTAL DO ATIVO</t>
  </si>
  <si>
    <t xml:space="preserve">    Felipe Sohne</t>
  </si>
  <si>
    <t>José Armando Lubian</t>
  </si>
  <si>
    <t xml:space="preserve">    Administrador CRA-RS 34.398</t>
  </si>
  <si>
    <t>Contador CRC-RS 65.661</t>
  </si>
  <si>
    <t>CPF 014.802.380-07</t>
  </si>
  <si>
    <t>CPF 638.529.850-72</t>
  </si>
  <si>
    <t>PASSIVO</t>
  </si>
  <si>
    <t>Fornecedores Nacionais</t>
  </si>
  <si>
    <t xml:space="preserve"> </t>
  </si>
  <si>
    <t>Emprestimos e Financiamentos</t>
  </si>
  <si>
    <t>(=) Obrigações Sociais</t>
  </si>
  <si>
    <t xml:space="preserve">       (+) Salarios a Pagar</t>
  </si>
  <si>
    <t xml:space="preserve">       (+) FGTS/INSS/INSS parcelado a recolher</t>
  </si>
  <si>
    <t xml:space="preserve">Obrigações Fiscais </t>
  </si>
  <si>
    <t>Honorários Médicos/Prestadores a Repassar</t>
  </si>
  <si>
    <t>Adiantamento de Clientes</t>
  </si>
  <si>
    <t>Adiant. Unimed Ressonancia magnet.</t>
  </si>
  <si>
    <t>Provisões de Férias/Encargos e 13º salário</t>
  </si>
  <si>
    <t>Outras Obrigações a Pagar</t>
  </si>
  <si>
    <t>Exigível a Longo Prazo</t>
  </si>
  <si>
    <t>Empréstimos Longo prazo</t>
  </si>
  <si>
    <t>Obrigações Sociais Parceladas L.P.</t>
  </si>
  <si>
    <t>Outros Exigíveis de L.P.</t>
  </si>
  <si>
    <t>Patrimônio Líquido</t>
  </si>
  <si>
    <t>Patrimônio Social</t>
  </si>
  <si>
    <t>Superávit/(Déficit) Acumulados</t>
  </si>
  <si>
    <t>TOTAL DO PASSIVO</t>
  </si>
  <si>
    <t>DEMONSTRAÇÃO DOS RESULTADOS DOS EXERCÍCIOS - ENCERRADOS EM:</t>
  </si>
  <si>
    <t>(=) Receita Bruta Operacional</t>
  </si>
  <si>
    <t xml:space="preserve">     Serviços Prestados</t>
  </si>
  <si>
    <t>(+) Assistência Médica - SUS</t>
  </si>
  <si>
    <t>(+) SUS - Ambulatório</t>
  </si>
  <si>
    <t>(+) Convênios</t>
  </si>
  <si>
    <t xml:space="preserve">      Pacientes Ipergs</t>
  </si>
  <si>
    <t xml:space="preserve">      Pacientes Unimed</t>
  </si>
  <si>
    <t xml:space="preserve">      Pacientes Capsem</t>
  </si>
  <si>
    <t xml:space="preserve">      Pacientes Outros Convênios</t>
  </si>
  <si>
    <t>(+) Particulares Internados</t>
  </si>
  <si>
    <t>(-) Glosas</t>
  </si>
  <si>
    <t>(+) Particulares Ambulatoriais</t>
  </si>
  <si>
    <t xml:space="preserve">      Subvenções Mensais </t>
  </si>
  <si>
    <t>(+) Subvenções mensais de Apoio ao SUS</t>
  </si>
  <si>
    <t>(=) Receita Líquida Operacional</t>
  </si>
  <si>
    <t>(=) Despesas/Custos Operacionais</t>
  </si>
  <si>
    <t>(-) Despesas com Pessoal</t>
  </si>
  <si>
    <t xml:space="preserve">   (-) Despesa com pessoal próprio</t>
  </si>
  <si>
    <t xml:space="preserve">   (-) Encargos sociais</t>
  </si>
  <si>
    <t xml:space="preserve">(-) Serviços de terceiros </t>
  </si>
  <si>
    <t xml:space="preserve">   (-) Serviços de terceiros – P. Jurídica</t>
  </si>
  <si>
    <t xml:space="preserve">   (-) Serviços de terceiros – P. Física</t>
  </si>
  <si>
    <t>(-) Materiais e medicamentos</t>
  </si>
  <si>
    <t>(-) Consumo - gêneros alimentícios</t>
  </si>
  <si>
    <t>(-) Outras despesas  hospitalares</t>
  </si>
  <si>
    <t>(-) Despesas gerais</t>
  </si>
  <si>
    <t xml:space="preserve">   (-) Despesas com Depreciações</t>
  </si>
  <si>
    <t xml:space="preserve">   (-) Seguro</t>
  </si>
  <si>
    <t xml:space="preserve">   (-) Energia Elétrica</t>
  </si>
  <si>
    <t xml:space="preserve">   (-) Despesas Legais e Judiciais</t>
  </si>
  <si>
    <t xml:space="preserve">   (-) Outros gastos operacionais</t>
  </si>
  <si>
    <t xml:space="preserve">   (-) Impostos e Taxas</t>
  </si>
  <si>
    <t>(=) Superávit/Déficit Operacional</t>
  </si>
  <si>
    <t>Despesas Fiscais e Previdenciárias</t>
  </si>
  <si>
    <t>(-) Benefício Fiscal Previdenciário</t>
  </si>
  <si>
    <t>(=) Receitas não operacionais</t>
  </si>
  <si>
    <t xml:space="preserve">   (+) Alugueis</t>
  </si>
  <si>
    <t xml:space="preserve">   (+) Doação PRONON</t>
  </si>
  <si>
    <t xml:space="preserve">   (+) Outras Doações </t>
  </si>
  <si>
    <t xml:space="preserve">   (+) Subvenções Eventuais</t>
  </si>
  <si>
    <t xml:space="preserve">   (+) Vendas Lancheria HCC</t>
  </si>
  <si>
    <t xml:space="preserve">   (+) Proc. Conversão Tabela SUS - URV</t>
  </si>
  <si>
    <t xml:space="preserve">   (+) Participação Exames Ressonancia/Tomografias</t>
  </si>
  <si>
    <t xml:space="preserve">   (+) Outras receitas</t>
  </si>
  <si>
    <t>(-) Despesas não operacionais</t>
  </si>
  <si>
    <t xml:space="preserve">   (-) Outras despesas</t>
  </si>
  <si>
    <t xml:space="preserve">(-) Despesas financeiras </t>
  </si>
  <si>
    <t xml:space="preserve">    (-) Despesas financeiras</t>
  </si>
  <si>
    <t>(+) Receitas de aplicações financeiras</t>
  </si>
  <si>
    <t xml:space="preserve">    (+) Receitas financeiras</t>
  </si>
  <si>
    <t xml:space="preserve">(=) Superávit/(Déficit) </t>
  </si>
  <si>
    <t>DEMONSTRAÇÃO DE ORIGENS E APLICAÇÕES DE RECURSOS</t>
  </si>
  <si>
    <t>DOS EXERCÍCIOS ENCERRADOS EM:</t>
  </si>
  <si>
    <t>ORIGENS DOS RECURSOS</t>
  </si>
  <si>
    <t xml:space="preserve">Das Operações </t>
  </si>
  <si>
    <t>Superávit (Prejuízo) Líquido do Exercício</t>
  </si>
  <si>
    <t>(-)  Ajustes dos Exercícios Anteriores</t>
  </si>
  <si>
    <t>Mais</t>
  </si>
  <si>
    <t>Depreciação Acumulada</t>
  </si>
  <si>
    <t>De Terceiros</t>
  </si>
  <si>
    <t xml:space="preserve">Aumento Passivo Não Circulante </t>
  </si>
  <si>
    <t>Resgate de Ativo Não Circulante Realizável a L.P.</t>
  </si>
  <si>
    <t>Diminuição dos Investimentos</t>
  </si>
  <si>
    <t>TOTAL DAS ORIGENS</t>
  </si>
  <si>
    <t>APLICAÇÃO DE RECURSOS</t>
  </si>
  <si>
    <t>Diminuição do Passivo Não Circulante</t>
  </si>
  <si>
    <t>Acréscimos de Bens do Imobilizado</t>
  </si>
  <si>
    <t>Aumento do Ativo Não Circulante Realizável L.P.</t>
  </si>
  <si>
    <t>TOTAL DAS APLICAÇÕES DE RECURSOS</t>
  </si>
  <si>
    <t>ACRÉSCIMO DO CAPITAL CIRCULANTE LÍQUIDO</t>
  </si>
  <si>
    <t>DEMONSTRAÇÃO DO ACRÉSCIMO / DIMINUIÇÃO DO CAPITAL CIRCULANTE  LÍQUIDO</t>
  </si>
  <si>
    <t>Variação</t>
  </si>
  <si>
    <t>Ativo Circulante</t>
  </si>
  <si>
    <t>Passivo Circulante</t>
  </si>
  <si>
    <t>Aumento C.C.L.</t>
  </si>
  <si>
    <t>DEMONSTRAÇÃO DO VALOR ADICIONADO</t>
  </si>
  <si>
    <t>1)  ENTRADAS</t>
  </si>
  <si>
    <t>A) Vendas de Produtos e Serviços</t>
  </si>
  <si>
    <t>B) Receitas Financeiras</t>
  </si>
  <si>
    <t>C) Receitas Não Operacionais</t>
  </si>
  <si>
    <t>TOTAL DAS ENTRADAS</t>
  </si>
  <si>
    <t>2)  SAÍDAS</t>
  </si>
  <si>
    <t>E) Matérias Primas e Bens de Consumo</t>
  </si>
  <si>
    <t xml:space="preserve">F) Serviços de Terceiros </t>
  </si>
  <si>
    <t>G) Demais gastos admin.</t>
  </si>
  <si>
    <t>H) Despesas Não Operacionais</t>
  </si>
  <si>
    <t>TOTAL DAS SAÍDAS</t>
  </si>
  <si>
    <t>3)  VALOR ADICIONADO LÍQUIDO</t>
  </si>
  <si>
    <t xml:space="preserve">4)  DISTRIBUIÇÃO DO VALOR ADICIONADO </t>
  </si>
  <si>
    <t>I) Salários e Encargos</t>
  </si>
  <si>
    <t xml:space="preserve">J) Impostos </t>
  </si>
  <si>
    <t xml:space="preserve">K) Desp. de Emprestimos e Financiamentos </t>
  </si>
  <si>
    <t xml:space="preserve">L) Superávit do Exercício </t>
  </si>
  <si>
    <t xml:space="preserve">VALOR ADICIONADO A SOCIEDADE </t>
  </si>
  <si>
    <t>DEMONSTRAÇÃO DAS MUTAÇÕES DO PATRIMÔNIO LÍQUIDO</t>
  </si>
  <si>
    <t>HISTÓRICOS</t>
  </si>
  <si>
    <t>PATRIMÔNIO</t>
  </si>
  <si>
    <t xml:space="preserve">RESERVAS DE </t>
  </si>
  <si>
    <t>SUPERÁVIT/DÉFICIT</t>
  </si>
  <si>
    <t>TOTAL</t>
  </si>
  <si>
    <t>SOCIAL</t>
  </si>
  <si>
    <t>REAVALIAÇÃO</t>
  </si>
  <si>
    <t>ACUMULADO</t>
  </si>
  <si>
    <t>(+) Ajustes Exercícios Anteriores</t>
  </si>
  <si>
    <t>(+) Superávit do Exercício</t>
  </si>
  <si>
    <t>Felipe Sohne</t>
  </si>
  <si>
    <t>Administrador CRA-RS 34.398</t>
  </si>
  <si>
    <t>Carazinho, 31 de dezembro de 2.018</t>
  </si>
  <si>
    <t>Saldo em 31/12/2.017</t>
  </si>
  <si>
    <t>TOTAL EM 31/12/2.018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</si>
</sst>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u val="singleAccounting"/>
      <sz val="11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6" fillId="0" borderId="0" xfId="0" applyFont="1"/>
    <xf numFmtId="164" fontId="8" fillId="0" borderId="0" xfId="0" applyNumberFormat="1" applyFont="1"/>
    <xf numFmtId="164" fontId="7" fillId="0" borderId="0" xfId="1" applyNumberFormat="1" applyFont="1" applyFill="1" applyBorder="1"/>
    <xf numFmtId="164" fontId="7" fillId="0" borderId="0" xfId="1" applyNumberFormat="1" applyFont="1" applyFill="1" applyBorder="1" applyAlignment="1">
      <alignment horizontal="center"/>
    </xf>
    <xf numFmtId="2" fontId="7" fillId="0" borderId="0" xfId="1" applyNumberFormat="1" applyFont="1" applyFill="1" applyBorder="1" applyAlignment="1">
      <alignment horizontal="center"/>
    </xf>
    <xf numFmtId="0" fontId="4" fillId="0" borderId="0" xfId="0" applyFont="1"/>
    <xf numFmtId="164" fontId="4" fillId="0" borderId="0" xfId="1" applyNumberFormat="1" applyFont="1" applyFill="1" applyBorder="1"/>
    <xf numFmtId="0" fontId="7" fillId="0" borderId="0" xfId="0" applyFont="1"/>
    <xf numFmtId="0" fontId="7" fillId="0" borderId="0" xfId="0" applyFont="1" applyAlignment="1">
      <alignment horizontal="center"/>
    </xf>
    <xf numFmtId="164" fontId="8" fillId="0" borderId="0" xfId="1" applyNumberFormat="1" applyFont="1" applyFill="1" applyBorder="1"/>
    <xf numFmtId="164" fontId="7" fillId="0" borderId="0" xfId="0" applyNumberFormat="1" applyFont="1" applyAlignment="1">
      <alignment horizontal="center"/>
    </xf>
    <xf numFmtId="164" fontId="4" fillId="0" borderId="0" xfId="0" applyNumberFormat="1" applyFont="1"/>
    <xf numFmtId="4" fontId="4" fillId="0" borderId="0" xfId="0" applyNumberFormat="1" applyFont="1"/>
    <xf numFmtId="164" fontId="6" fillId="0" borderId="0" xfId="0" applyNumberFormat="1" applyFont="1"/>
    <xf numFmtId="1" fontId="7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64" fontId="4" fillId="0" borderId="0" xfId="1" applyNumberFormat="1" applyFont="1" applyFill="1" applyBorder="1" applyAlignment="1">
      <alignment horizontal="center"/>
    </xf>
    <xf numFmtId="164" fontId="6" fillId="0" borderId="0" xfId="1" applyNumberFormat="1" applyFont="1" applyFill="1" applyBorder="1"/>
    <xf numFmtId="164" fontId="3" fillId="0" borderId="0" xfId="1" applyNumberFormat="1" applyFont="1" applyFill="1" applyBorder="1"/>
    <xf numFmtId="0" fontId="3" fillId="0" borderId="0" xfId="0" applyFont="1"/>
    <xf numFmtId="164" fontId="7" fillId="0" borderId="0" xfId="0" applyNumberFormat="1" applyFont="1"/>
    <xf numFmtId="43" fontId="7" fillId="0" borderId="0" xfId="0" applyNumberFormat="1" applyFont="1"/>
    <xf numFmtId="0" fontId="9" fillId="0" borderId="0" xfId="0" applyFont="1"/>
    <xf numFmtId="164" fontId="6" fillId="0" borderId="0" xfId="1" applyNumberFormat="1" applyFont="1" applyFill="1" applyBorder="1" applyAlignment="1">
      <alignment horizontal="center"/>
    </xf>
    <xf numFmtId="164" fontId="3" fillId="0" borderId="0" xfId="0" applyNumberFormat="1" applyFont="1"/>
    <xf numFmtId="2" fontId="6" fillId="0" borderId="0" xfId="0" applyNumberFormat="1" applyFont="1" applyAlignment="1">
      <alignment horizontal="center"/>
    </xf>
    <xf numFmtId="164" fontId="3" fillId="0" borderId="0" xfId="1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/>
    <xf numFmtId="164" fontId="6" fillId="0" borderId="5" xfId="1" applyNumberFormat="1" applyFont="1" applyFill="1" applyBorder="1"/>
    <xf numFmtId="164" fontId="6" fillId="0" borderId="6" xfId="1" applyNumberFormat="1" applyFont="1" applyFill="1" applyBorder="1"/>
    <xf numFmtId="0" fontId="3" fillId="0" borderId="7" xfId="0" applyFont="1" applyBorder="1"/>
    <xf numFmtId="164" fontId="3" fillId="0" borderId="8" xfId="1" applyNumberFormat="1" applyFont="1" applyFill="1" applyBorder="1"/>
    <xf numFmtId="164" fontId="3" fillId="0" borderId="9" xfId="1" applyNumberFormat="1" applyFont="1" applyFill="1" applyBorder="1"/>
    <xf numFmtId="0" fontId="6" fillId="0" borderId="7" xfId="0" applyFont="1" applyBorder="1"/>
    <xf numFmtId="164" fontId="6" fillId="0" borderId="8" xfId="1" applyNumberFormat="1" applyFont="1" applyFill="1" applyBorder="1"/>
    <xf numFmtId="164" fontId="6" fillId="0" borderId="9" xfId="1" applyNumberFormat="1" applyFont="1" applyFill="1" applyBorder="1"/>
    <xf numFmtId="0" fontId="3" fillId="0" borderId="10" xfId="0" applyFont="1" applyBorder="1"/>
    <xf numFmtId="164" fontId="3" fillId="0" borderId="11" xfId="1" applyNumberFormat="1" applyFont="1" applyFill="1" applyBorder="1"/>
    <xf numFmtId="164" fontId="3" fillId="0" borderId="12" xfId="1" applyNumberFormat="1" applyFont="1" applyFill="1" applyBorder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finan.HCC/Documents/Balan&#231;os%20Patrimoniais/BALAN&#199;O%202018/FLUXO%20DE%20CAIXA%202.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finan.HCC/Documents/Balan&#231;os%20Patrimoniais/BALAN&#199;O%202018/COTA%20PATRONAL%202018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I~1\AppData\Local\Temp\pid-59620\Balan&#231;o%202.018.XLS" TargetMode="External"/><Relationship Id="rId1" Type="http://schemas.openxmlformats.org/officeDocument/2006/relationships/externalLinkPath" Target="/Users/ADMINI~1/AppData/Local/Temp/pid-59620/Balan&#231;o%202.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o dre"/>
      <sheetName val="fluxo de caixa"/>
      <sheetName val="demostração acumulada"/>
      <sheetName val="calculo custos x rec."/>
      <sheetName val="balancete 2018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B7">
            <v>1823234.94</v>
          </cell>
        </row>
        <row r="203">
          <cell r="M203">
            <v>-658156.09000000707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4"/>
      <sheetName val="Plan1"/>
      <sheetName val="Plan2"/>
      <sheetName val="Plan3"/>
    </sheetNames>
    <sheetDataSet>
      <sheetData sheetId="0" refreshError="1"/>
      <sheetData sheetId="1" refreshError="1"/>
      <sheetData sheetId="2" refreshError="1">
        <row r="21">
          <cell r="F21">
            <v>3864643.8603599994</v>
          </cell>
        </row>
      </sheetData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 subvenções"/>
      <sheetName val="planilha empréstimos"/>
      <sheetName val="Plan1"/>
      <sheetName val="SALDO TRIBUTOS"/>
      <sheetName val="Plan2"/>
      <sheetName val="balanço e dre "/>
      <sheetName val="demonst de origens e recursos"/>
      <sheetName val="fluxo de caixa"/>
      <sheetName val="valor adicionado"/>
      <sheetName val="demost.de mutações do PL."/>
    </sheetNames>
    <sheetDataSet>
      <sheetData sheetId="0"/>
      <sheetData sheetId="1"/>
      <sheetData sheetId="2"/>
      <sheetData sheetId="3"/>
      <sheetData sheetId="4"/>
      <sheetData sheetId="5">
        <row r="7">
          <cell r="F7">
            <v>10015502.620000001</v>
          </cell>
        </row>
        <row r="34">
          <cell r="F34">
            <v>686360.61</v>
          </cell>
          <cell r="H34">
            <v>711732.7</v>
          </cell>
        </row>
        <row r="38">
          <cell r="F38">
            <v>58315.54</v>
          </cell>
          <cell r="H38">
            <v>58315.54</v>
          </cell>
        </row>
        <row r="41">
          <cell r="F41">
            <v>18964178.93</v>
          </cell>
          <cell r="H41">
            <v>17484321.760000002</v>
          </cell>
        </row>
        <row r="57">
          <cell r="F57">
            <v>67150.100000000006</v>
          </cell>
          <cell r="H57">
            <v>67150.100000000006</v>
          </cell>
        </row>
        <row r="61">
          <cell r="F61">
            <v>-3554657.03</v>
          </cell>
          <cell r="H61">
            <v>-2734810.18</v>
          </cell>
        </row>
        <row r="79">
          <cell r="F79">
            <v>14371773.57</v>
          </cell>
        </row>
        <row r="91">
          <cell r="F91">
            <v>10558358.84</v>
          </cell>
          <cell r="H91">
            <v>11410584.98</v>
          </cell>
        </row>
        <row r="97">
          <cell r="H97">
            <v>49336.34</v>
          </cell>
        </row>
        <row r="98">
          <cell r="H98">
            <v>1957311.6500000057</v>
          </cell>
        </row>
        <row r="174">
          <cell r="F174">
            <v>38756877.619999997</v>
          </cell>
        </row>
        <row r="176">
          <cell r="F176">
            <v>15750391</v>
          </cell>
        </row>
        <row r="179">
          <cell r="F179">
            <v>13719986.07</v>
          </cell>
        </row>
        <row r="182">
          <cell r="F182">
            <v>7668913.7599999998</v>
          </cell>
        </row>
        <row r="183">
          <cell r="F183">
            <v>1091162.3400000001</v>
          </cell>
        </row>
        <row r="184">
          <cell r="F184">
            <v>236895.93</v>
          </cell>
        </row>
        <row r="185">
          <cell r="F185">
            <v>2522880.2000000002</v>
          </cell>
        </row>
        <row r="191">
          <cell r="F191">
            <v>21275.200000000001</v>
          </cell>
        </row>
        <row r="195">
          <cell r="F195">
            <v>4073527.2</v>
          </cell>
        </row>
        <row r="204">
          <cell r="F204">
            <v>137454.93</v>
          </cell>
        </row>
        <row r="207">
          <cell r="F207">
            <v>2469766.2599999998</v>
          </cell>
        </row>
        <row r="209">
          <cell r="F209">
            <v>108889.58</v>
          </cell>
        </row>
        <row r="210">
          <cell r="F210">
            <v>-658156.09000000672</v>
          </cell>
        </row>
      </sheetData>
      <sheetData sheetId="6">
        <row r="11">
          <cell r="G11">
            <v>-41773.54</v>
          </cell>
        </row>
      </sheetData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9F0EA-38DE-4FE9-BEB1-2B78F92005D8}">
  <dimension ref="A1:I218"/>
  <sheetViews>
    <sheetView topLeftCell="A37" workbookViewId="0">
      <selection sqref="A1:I218"/>
    </sheetView>
  </sheetViews>
  <sheetFormatPr defaultRowHeight="15" x14ac:dyDescent="0.25"/>
  <cols>
    <col min="6" max="6" width="15.7109375" bestFit="1" customWidth="1"/>
    <col min="7" max="7" width="7.7109375" bestFit="1" customWidth="1"/>
    <col min="8" max="8" width="15.7109375" bestFit="1" customWidth="1"/>
    <col min="9" max="9" width="7.7109375" bestFit="1" customWidth="1"/>
  </cols>
  <sheetData>
    <row r="1" spans="1:9" ht="18" x14ac:dyDescent="0.25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spans="1:9" x14ac:dyDescent="0.25">
      <c r="A2" s="54" t="s">
        <v>1</v>
      </c>
      <c r="B2" s="54"/>
      <c r="C2" s="54"/>
      <c r="D2" s="54"/>
      <c r="E2" s="54"/>
      <c r="F2" s="54"/>
      <c r="G2" s="54"/>
      <c r="H2" s="54"/>
      <c r="I2" s="54"/>
    </row>
    <row r="3" spans="1:9" x14ac:dyDescent="0.25">
      <c r="A3" s="2"/>
      <c r="B3" s="2"/>
      <c r="C3" s="2"/>
      <c r="D3" s="2"/>
      <c r="E3" s="2"/>
      <c r="F3" s="2"/>
      <c r="G3" s="2"/>
      <c r="H3" s="2"/>
      <c r="I3" s="2"/>
    </row>
    <row r="4" spans="1:9" ht="15.75" x14ac:dyDescent="0.25">
      <c r="A4" s="50" t="s">
        <v>2</v>
      </c>
      <c r="B4" s="50"/>
      <c r="C4" s="50"/>
      <c r="D4" s="50"/>
      <c r="E4" s="50"/>
      <c r="F4" s="50"/>
      <c r="G4" s="50"/>
      <c r="H4" s="50"/>
      <c r="I4" s="50"/>
    </row>
    <row r="5" spans="1:9" ht="15.75" x14ac:dyDescent="0.25">
      <c r="A5" s="3"/>
      <c r="B5" s="3"/>
      <c r="C5" s="3"/>
      <c r="D5" s="3"/>
      <c r="E5" s="3"/>
      <c r="F5" s="3"/>
      <c r="G5" s="3"/>
      <c r="H5" s="3"/>
      <c r="I5" s="3"/>
    </row>
    <row r="6" spans="1:9" x14ac:dyDescent="0.25">
      <c r="A6" s="55" t="s">
        <v>3</v>
      </c>
      <c r="B6" s="55"/>
      <c r="C6" s="55"/>
      <c r="D6" s="55"/>
      <c r="E6" s="55"/>
      <c r="F6" s="5">
        <v>43465</v>
      </c>
      <c r="G6" s="6" t="s">
        <v>4</v>
      </c>
      <c r="H6" s="5">
        <v>43100</v>
      </c>
      <c r="I6" s="6" t="s">
        <v>4</v>
      </c>
    </row>
    <row r="7" spans="1:9" ht="19.5" x14ac:dyDescent="0.55000000000000004">
      <c r="A7" s="7" t="s">
        <v>5</v>
      </c>
      <c r="B7" s="7"/>
      <c r="C7" s="7"/>
      <c r="D7" s="7"/>
      <c r="E7" s="4"/>
      <c r="F7" s="8">
        <f>SUM(F8,F13,F23)+F31</f>
        <v>10015502.620000001</v>
      </c>
      <c r="G7" s="6">
        <f>F7/F62*100</f>
        <v>38.173417639940325</v>
      </c>
      <c r="H7" s="8">
        <v>10984645.049999999</v>
      </c>
      <c r="I7" s="6">
        <f>H7/H62*100</f>
        <v>41.340176526195414</v>
      </c>
    </row>
    <row r="8" spans="1:9" x14ac:dyDescent="0.25">
      <c r="A8" s="9"/>
      <c r="B8" s="9" t="s">
        <v>6</v>
      </c>
      <c r="C8" s="9"/>
      <c r="D8" s="9"/>
      <c r="E8" s="10"/>
      <c r="F8" s="9">
        <f>F9+F10+F12+F11</f>
        <v>1764745.93</v>
      </c>
      <c r="G8" s="11">
        <f>F8/F62*100</f>
        <v>6.7262109521843332</v>
      </c>
      <c r="H8" s="9">
        <v>1823234.94</v>
      </c>
      <c r="I8" s="11">
        <f>H8/H62*100</f>
        <v>6.8616558773856164</v>
      </c>
    </row>
    <row r="9" spans="1:9" x14ac:dyDescent="0.25">
      <c r="A9" s="12"/>
      <c r="B9" s="12"/>
      <c r="C9" s="12" t="s">
        <v>7</v>
      </c>
      <c r="D9" s="12"/>
      <c r="E9" s="2"/>
      <c r="F9" s="13">
        <v>66696.62</v>
      </c>
      <c r="G9" s="12"/>
      <c r="H9" s="13">
        <v>54277.43</v>
      </c>
      <c r="I9" s="12"/>
    </row>
    <row r="10" spans="1:9" x14ac:dyDescent="0.25">
      <c r="A10" s="12"/>
      <c r="B10" s="12"/>
      <c r="C10" s="12" t="s">
        <v>8</v>
      </c>
      <c r="D10" s="12"/>
      <c r="E10" s="2"/>
      <c r="F10" s="13">
        <f>259472.68</f>
        <v>259472.68</v>
      </c>
      <c r="G10" s="12"/>
      <c r="H10" s="13">
        <v>1010082.12</v>
      </c>
      <c r="I10" s="12"/>
    </row>
    <row r="11" spans="1:9" x14ac:dyDescent="0.25">
      <c r="A11" s="12"/>
      <c r="B11" s="12"/>
      <c r="C11" s="12" t="s">
        <v>9</v>
      </c>
      <c r="D11" s="12"/>
      <c r="E11" s="2"/>
      <c r="F11" s="13">
        <v>750670</v>
      </c>
      <c r="G11" s="12"/>
      <c r="H11" s="13">
        <v>0</v>
      </c>
      <c r="I11" s="12"/>
    </row>
    <row r="12" spans="1:9" x14ac:dyDescent="0.25">
      <c r="A12" s="12"/>
      <c r="B12" s="12"/>
      <c r="C12" s="12" t="s">
        <v>10</v>
      </c>
      <c r="D12" s="12"/>
      <c r="E12" s="2"/>
      <c r="F12" s="13">
        <v>687906.63</v>
      </c>
      <c r="G12" s="12"/>
      <c r="H12" s="13">
        <v>758875.39</v>
      </c>
      <c r="I12" s="12"/>
    </row>
    <row r="13" spans="1:9" x14ac:dyDescent="0.25">
      <c r="A13" s="14"/>
      <c r="B13" s="14" t="s">
        <v>11</v>
      </c>
      <c r="C13" s="14"/>
      <c r="D13" s="14"/>
      <c r="E13" s="15"/>
      <c r="F13" s="9">
        <f>SUM(F14:F22)</f>
        <v>7308020.4700000007</v>
      </c>
      <c r="G13" s="6">
        <f>F13/F62*100</f>
        <v>27.854030706902556</v>
      </c>
      <c r="H13" s="9">
        <v>8294717.9999999991</v>
      </c>
      <c r="I13" s="6">
        <f>H13/H62*100</f>
        <v>31.216767113927872</v>
      </c>
    </row>
    <row r="14" spans="1:9" x14ac:dyDescent="0.25">
      <c r="A14" s="12"/>
      <c r="B14" s="12"/>
      <c r="C14" s="12" t="s">
        <v>12</v>
      </c>
      <c r="D14" s="12"/>
      <c r="E14" s="2"/>
      <c r="F14" s="13">
        <v>421224.49</v>
      </c>
      <c r="G14" s="12"/>
      <c r="H14" s="13">
        <v>232829.26</v>
      </c>
      <c r="I14" s="12"/>
    </row>
    <row r="15" spans="1:9" x14ac:dyDescent="0.25">
      <c r="A15" s="12"/>
      <c r="B15" s="12"/>
      <c r="C15" s="12" t="s">
        <v>13</v>
      </c>
      <c r="D15" s="12"/>
      <c r="E15" s="2"/>
      <c r="F15" s="13">
        <v>50745.55</v>
      </c>
      <c r="G15" s="12"/>
      <c r="H15" s="13">
        <v>42640.05</v>
      </c>
      <c r="I15" s="12"/>
    </row>
    <row r="16" spans="1:9" x14ac:dyDescent="0.25">
      <c r="A16" s="12"/>
      <c r="B16" s="12"/>
      <c r="C16" s="12" t="s">
        <v>14</v>
      </c>
      <c r="D16" s="12"/>
      <c r="E16" s="2"/>
      <c r="F16" s="13">
        <v>8668.9599999999991</v>
      </c>
      <c r="G16" s="12"/>
      <c r="H16" s="13">
        <v>4445.0200000000004</v>
      </c>
      <c r="I16" s="12"/>
    </row>
    <row r="17" spans="1:9" x14ac:dyDescent="0.25">
      <c r="A17" s="12"/>
      <c r="B17" s="12"/>
      <c r="C17" s="12" t="s">
        <v>15</v>
      </c>
      <c r="D17" s="12"/>
      <c r="E17" s="2"/>
      <c r="F17" s="13">
        <v>1880986.53</v>
      </c>
      <c r="G17" s="12"/>
      <c r="H17" s="13">
        <v>1406050.65</v>
      </c>
      <c r="I17" s="12"/>
    </row>
    <row r="18" spans="1:9" x14ac:dyDescent="0.25">
      <c r="A18" s="12"/>
      <c r="B18" s="12"/>
      <c r="C18" s="12" t="s">
        <v>16</v>
      </c>
      <c r="D18" s="12"/>
      <c r="E18" s="2"/>
      <c r="F18" s="13">
        <v>3191541.75</v>
      </c>
      <c r="G18" s="12"/>
      <c r="H18" s="13">
        <v>3361706.44</v>
      </c>
      <c r="I18" s="12"/>
    </row>
    <row r="19" spans="1:9" x14ac:dyDescent="0.25">
      <c r="A19" s="12"/>
      <c r="B19" s="12"/>
      <c r="C19" s="12" t="s">
        <v>17</v>
      </c>
      <c r="D19" s="12"/>
      <c r="E19" s="2"/>
      <c r="F19" s="13">
        <v>1404662.62</v>
      </c>
      <c r="G19" s="12"/>
      <c r="H19" s="13">
        <v>2814507.34</v>
      </c>
      <c r="I19" s="12"/>
    </row>
    <row r="20" spans="1:9" x14ac:dyDescent="0.25">
      <c r="A20" s="12"/>
      <c r="B20" s="12"/>
      <c r="C20" s="12" t="s">
        <v>18</v>
      </c>
      <c r="D20" s="12"/>
      <c r="E20" s="2"/>
      <c r="F20" s="13">
        <v>17317.189999999999</v>
      </c>
      <c r="G20" s="12"/>
      <c r="H20" s="13">
        <v>99215.56</v>
      </c>
      <c r="I20" s="12"/>
    </row>
    <row r="21" spans="1:9" x14ac:dyDescent="0.25">
      <c r="A21" s="12"/>
      <c r="B21" s="12"/>
      <c r="C21" s="12" t="s">
        <v>19</v>
      </c>
      <c r="D21" s="12"/>
      <c r="E21" s="2"/>
      <c r="F21" s="13">
        <v>312322.92</v>
      </c>
      <c r="G21" s="12"/>
      <c r="H21" s="13">
        <v>312322.92</v>
      </c>
      <c r="I21" s="12"/>
    </row>
    <row r="22" spans="1:9" x14ac:dyDescent="0.25">
      <c r="A22" s="12"/>
      <c r="B22" s="12"/>
      <c r="C22" s="12" t="s">
        <v>20</v>
      </c>
      <c r="D22" s="12"/>
      <c r="E22" s="2"/>
      <c r="F22" s="13">
        <f>20408.37+142.09</f>
        <v>20550.46</v>
      </c>
      <c r="G22" s="12"/>
      <c r="H22" s="13">
        <v>21000.76</v>
      </c>
      <c r="I22" s="12"/>
    </row>
    <row r="23" spans="1:9" x14ac:dyDescent="0.25">
      <c r="A23" s="14"/>
      <c r="B23" s="14" t="s">
        <v>21</v>
      </c>
      <c r="C23" s="14"/>
      <c r="D23" s="14"/>
      <c r="E23" s="15"/>
      <c r="F23" s="9">
        <f>SUM(F24:F30)</f>
        <v>916991.05999999982</v>
      </c>
      <c r="G23" s="6">
        <f>F23/F62*100</f>
        <v>3.495050027301732</v>
      </c>
      <c r="H23" s="9">
        <v>822516.27</v>
      </c>
      <c r="I23" s="6">
        <f>H23/H62*100</f>
        <v>3.0954999130780121</v>
      </c>
    </row>
    <row r="24" spans="1:9" x14ac:dyDescent="0.25">
      <c r="A24" s="12"/>
      <c r="B24" s="12"/>
      <c r="C24" s="12" t="s">
        <v>22</v>
      </c>
      <c r="D24" s="12"/>
      <c r="E24" s="2"/>
      <c r="F24" s="13">
        <v>779290.19</v>
      </c>
      <c r="G24" s="12"/>
      <c r="H24" s="13">
        <v>694784.97</v>
      </c>
      <c r="I24" s="12"/>
    </row>
    <row r="25" spans="1:9" x14ac:dyDescent="0.25">
      <c r="A25" s="12"/>
      <c r="B25" s="12"/>
      <c r="C25" s="12" t="s">
        <v>23</v>
      </c>
      <c r="D25" s="12"/>
      <c r="E25" s="2"/>
      <c r="F25" s="13">
        <v>37172.629999999997</v>
      </c>
      <c r="G25" s="12"/>
      <c r="H25" s="13">
        <v>20790.349999999999</v>
      </c>
      <c r="I25" s="12"/>
    </row>
    <row r="26" spans="1:9" x14ac:dyDescent="0.25">
      <c r="A26" s="12"/>
      <c r="B26" s="12"/>
      <c r="C26" s="12" t="s">
        <v>24</v>
      </c>
      <c r="D26" s="12"/>
      <c r="E26" s="2"/>
      <c r="F26" s="13">
        <v>17334</v>
      </c>
      <c r="G26" s="12"/>
      <c r="H26" s="13">
        <v>36179.699999999997</v>
      </c>
      <c r="I26" s="12"/>
    </row>
    <row r="27" spans="1:9" x14ac:dyDescent="0.25">
      <c r="A27" s="12"/>
      <c r="B27" s="12"/>
      <c r="C27" s="12" t="s">
        <v>25</v>
      </c>
      <c r="D27" s="12"/>
      <c r="E27" s="2"/>
      <c r="F27" s="13">
        <v>3021.95</v>
      </c>
      <c r="G27" s="12"/>
      <c r="H27" s="13">
        <v>763.4</v>
      </c>
      <c r="I27" s="12"/>
    </row>
    <row r="28" spans="1:9" x14ac:dyDescent="0.25">
      <c r="A28" s="12"/>
      <c r="B28" s="12"/>
      <c r="C28" s="12" t="s">
        <v>26</v>
      </c>
      <c r="D28" s="12"/>
      <c r="E28" s="2"/>
      <c r="F28" s="13">
        <v>22095.84</v>
      </c>
      <c r="G28" s="12"/>
      <c r="H28" s="13">
        <v>24405.66</v>
      </c>
      <c r="I28" s="12"/>
    </row>
    <row r="29" spans="1:9" x14ac:dyDescent="0.25">
      <c r="A29" s="12"/>
      <c r="B29" s="12"/>
      <c r="C29" s="12" t="s">
        <v>27</v>
      </c>
      <c r="D29" s="12"/>
      <c r="E29" s="2"/>
      <c r="F29" s="13">
        <v>13762.1</v>
      </c>
      <c r="G29" s="12"/>
      <c r="H29" s="13">
        <v>12123.98</v>
      </c>
      <c r="I29" s="12"/>
    </row>
    <row r="30" spans="1:9" x14ac:dyDescent="0.25">
      <c r="A30" s="12"/>
      <c r="B30" s="12"/>
      <c r="C30" s="12" t="s">
        <v>28</v>
      </c>
      <c r="D30" s="12"/>
      <c r="E30" s="2"/>
      <c r="F30" s="13">
        <v>44314.35</v>
      </c>
      <c r="G30" s="12"/>
      <c r="H30" s="13">
        <v>33468.21</v>
      </c>
      <c r="I30" s="12"/>
    </row>
    <row r="31" spans="1:9" x14ac:dyDescent="0.25">
      <c r="A31" s="12"/>
      <c r="B31" s="14" t="s">
        <v>29</v>
      </c>
      <c r="C31" s="12"/>
      <c r="D31" s="12"/>
      <c r="E31" s="2"/>
      <c r="F31" s="9">
        <f>F32</f>
        <v>25745.16</v>
      </c>
      <c r="G31" s="12"/>
      <c r="H31" s="9">
        <v>44175.839999999997</v>
      </c>
      <c r="I31" s="12"/>
    </row>
    <row r="32" spans="1:9" x14ac:dyDescent="0.25">
      <c r="A32" s="12"/>
      <c r="B32" s="14"/>
      <c r="C32" s="12" t="s">
        <v>30</v>
      </c>
      <c r="D32" s="12"/>
      <c r="E32" s="2"/>
      <c r="F32" s="13">
        <v>25745.16</v>
      </c>
      <c r="G32" s="12"/>
      <c r="H32" s="13">
        <v>44175.839999999997</v>
      </c>
      <c r="I32" s="12"/>
    </row>
    <row r="33" spans="1:9" ht="19.5" x14ac:dyDescent="0.55000000000000004">
      <c r="A33" s="7" t="s">
        <v>31</v>
      </c>
      <c r="B33" s="7"/>
      <c r="C33" s="7"/>
      <c r="D33" s="7"/>
      <c r="E33" s="4"/>
      <c r="F33" s="16">
        <f>F34+F38+F41+F57+F61</f>
        <v>16221348.15</v>
      </c>
      <c r="G33" s="6">
        <f>F33/F62*100</f>
        <v>61.826582360059668</v>
      </c>
      <c r="H33" s="16">
        <v>15586709.920000002</v>
      </c>
      <c r="I33" s="6">
        <f>H33/H62*100</f>
        <v>58.659823473804586</v>
      </c>
    </row>
    <row r="34" spans="1:9" ht="19.5" x14ac:dyDescent="0.55000000000000004">
      <c r="A34" s="7"/>
      <c r="B34" s="14" t="s">
        <v>32</v>
      </c>
      <c r="C34" s="7"/>
      <c r="D34" s="7"/>
      <c r="E34" s="4"/>
      <c r="F34" s="16">
        <f>F36+F37+F35</f>
        <v>686360.61</v>
      </c>
      <c r="G34" s="6"/>
      <c r="H34" s="16">
        <v>711732.7</v>
      </c>
      <c r="I34" s="6"/>
    </row>
    <row r="35" spans="1:9" x14ac:dyDescent="0.25">
      <c r="A35" s="12"/>
      <c r="B35" s="12"/>
      <c r="C35" s="12" t="s">
        <v>33</v>
      </c>
      <c r="D35" s="12"/>
      <c r="E35" s="2"/>
      <c r="F35" s="13">
        <v>1090.73</v>
      </c>
      <c r="G35" s="12"/>
      <c r="H35" s="13">
        <v>717.66</v>
      </c>
      <c r="I35" s="12"/>
    </row>
    <row r="36" spans="1:9" x14ac:dyDescent="0.25">
      <c r="A36" s="12"/>
      <c r="B36" s="12"/>
      <c r="C36" s="12" t="s">
        <v>34</v>
      </c>
      <c r="D36" s="12"/>
      <c r="E36" s="2"/>
      <c r="F36" s="13">
        <v>685269.88</v>
      </c>
      <c r="G36" s="12"/>
      <c r="H36" s="13">
        <v>685269.88</v>
      </c>
      <c r="I36" s="12"/>
    </row>
    <row r="37" spans="1:9" x14ac:dyDescent="0.25">
      <c r="A37" s="12"/>
      <c r="B37" s="12"/>
      <c r="C37" s="12" t="s">
        <v>35</v>
      </c>
      <c r="D37" s="12"/>
      <c r="E37" s="2"/>
      <c r="F37" s="13">
        <v>0</v>
      </c>
      <c r="G37" s="12"/>
      <c r="H37" s="13">
        <v>25745.16</v>
      </c>
      <c r="I37" s="12"/>
    </row>
    <row r="38" spans="1:9" x14ac:dyDescent="0.25">
      <c r="A38" s="14"/>
      <c r="B38" s="14" t="s">
        <v>36</v>
      </c>
      <c r="C38" s="14"/>
      <c r="D38" s="14"/>
      <c r="E38" s="15"/>
      <c r="F38" s="9">
        <f>SUM(F39:F40)</f>
        <v>58315.54</v>
      </c>
      <c r="G38" s="12"/>
      <c r="H38" s="9">
        <v>58315.54</v>
      </c>
      <c r="I38" s="12"/>
    </row>
    <row r="39" spans="1:9" x14ac:dyDescent="0.25">
      <c r="A39" s="12"/>
      <c r="B39" s="12"/>
      <c r="C39" s="12" t="s">
        <v>37</v>
      </c>
      <c r="D39" s="12"/>
      <c r="E39" s="2"/>
      <c r="F39" s="13">
        <v>1142.04</v>
      </c>
      <c r="G39" s="12"/>
      <c r="H39" s="13">
        <v>1142.04</v>
      </c>
      <c r="I39" s="12"/>
    </row>
    <row r="40" spans="1:9" x14ac:dyDescent="0.25">
      <c r="A40" s="12"/>
      <c r="B40" s="12"/>
      <c r="C40" s="12" t="s">
        <v>38</v>
      </c>
      <c r="D40" s="12"/>
      <c r="E40" s="2"/>
      <c r="F40" s="13">
        <v>57173.5</v>
      </c>
      <c r="G40" s="12"/>
      <c r="H40" s="13">
        <v>57173.5</v>
      </c>
      <c r="I40" s="12"/>
    </row>
    <row r="41" spans="1:9" x14ac:dyDescent="0.25">
      <c r="A41" s="14"/>
      <c r="B41" s="14" t="s">
        <v>39</v>
      </c>
      <c r="C41" s="14"/>
      <c r="D41" s="14"/>
      <c r="E41" s="17"/>
      <c r="F41" s="9">
        <f>SUM(F42:F56)</f>
        <v>18964178.93</v>
      </c>
      <c r="G41" s="6">
        <f>F41/F62*100</f>
        <v>72.280698229545919</v>
      </c>
      <c r="H41" s="9">
        <v>17484321.760000002</v>
      </c>
      <c r="I41" s="6">
        <f>H41/H62*100</f>
        <v>65.801393191052625</v>
      </c>
    </row>
    <row r="42" spans="1:9" x14ac:dyDescent="0.25">
      <c r="A42" s="12"/>
      <c r="B42" s="12"/>
      <c r="C42" s="12" t="s">
        <v>40</v>
      </c>
      <c r="D42" s="12"/>
      <c r="E42" s="2"/>
      <c r="F42" s="13">
        <v>592000</v>
      </c>
      <c r="G42" s="12"/>
      <c r="H42" s="13">
        <v>592000</v>
      </c>
      <c r="I42" s="12"/>
    </row>
    <row r="43" spans="1:9" x14ac:dyDescent="0.25">
      <c r="A43" s="12"/>
      <c r="B43" s="12"/>
      <c r="C43" s="12" t="s">
        <v>41</v>
      </c>
      <c r="D43" s="12"/>
      <c r="E43" s="2"/>
      <c r="F43" s="13">
        <f>2956412.79+1354273.56+46422.19+215449.64+490417.41+12987+957627.93+503203.1+808428.95</f>
        <v>7345222.5699999994</v>
      </c>
      <c r="G43" s="12"/>
      <c r="H43" s="13">
        <v>7156924.6399999997</v>
      </c>
      <c r="I43" s="12"/>
    </row>
    <row r="44" spans="1:9" x14ac:dyDescent="0.25">
      <c r="A44" s="12"/>
      <c r="B44" s="12"/>
      <c r="C44" s="12" t="s">
        <v>42</v>
      </c>
      <c r="D44" s="12"/>
      <c r="E44" s="2"/>
      <c r="F44" s="13">
        <f>104031.13+25519.54+2284591.69+43690+93897.69+14010+257703.06+213226.79+19492.62+96802.26+21329.1+14405.58</f>
        <v>3188699.46</v>
      </c>
      <c r="G44" s="12"/>
      <c r="H44" s="13">
        <v>2489197.9</v>
      </c>
      <c r="I44" s="12"/>
    </row>
    <row r="45" spans="1:9" x14ac:dyDescent="0.25">
      <c r="A45" s="12"/>
      <c r="B45" s="12"/>
      <c r="C45" s="12" t="s">
        <v>43</v>
      </c>
      <c r="D45" s="12"/>
      <c r="E45" s="2"/>
      <c r="F45" s="13">
        <f>1723569.4+58748.04+42015.21+8549.84+15308.38+219665.86+52032.37+51199.17+501412.47+1336705.97+1214976.27+7.81+81765.52</f>
        <v>5305956.3099999996</v>
      </c>
      <c r="G45" s="18"/>
      <c r="H45" s="13">
        <v>4973927.3899999997</v>
      </c>
      <c r="I45" s="18"/>
    </row>
    <row r="46" spans="1:9" x14ac:dyDescent="0.25">
      <c r="A46" s="12"/>
      <c r="B46" s="12"/>
      <c r="C46" s="12" t="s">
        <v>44</v>
      </c>
      <c r="D46" s="12"/>
      <c r="E46" s="2"/>
      <c r="F46" s="13">
        <v>438230.96</v>
      </c>
      <c r="G46" s="12"/>
      <c r="H46" s="13">
        <v>438230.96</v>
      </c>
      <c r="I46" s="12"/>
    </row>
    <row r="47" spans="1:9" x14ac:dyDescent="0.25">
      <c r="A47" s="12"/>
      <c r="B47" s="12"/>
      <c r="C47" s="12" t="s">
        <v>45</v>
      </c>
      <c r="D47" s="12"/>
      <c r="E47" s="2"/>
      <c r="F47" s="13">
        <f>5037.5+911734.28+60616.64+20661+90210.88</f>
        <v>1088260.3</v>
      </c>
      <c r="G47" s="12"/>
      <c r="H47" s="13">
        <v>901989.27</v>
      </c>
      <c r="I47" s="12"/>
    </row>
    <row r="48" spans="1:9" x14ac:dyDescent="0.25">
      <c r="A48" s="12"/>
      <c r="B48" s="12"/>
      <c r="C48" s="12" t="s">
        <v>46</v>
      </c>
      <c r="D48" s="12"/>
      <c r="E48" s="2"/>
      <c r="F48" s="13">
        <v>554226.81000000006</v>
      </c>
      <c r="G48" s="12"/>
      <c r="H48" s="13">
        <v>492904.44</v>
      </c>
      <c r="I48" s="12"/>
    </row>
    <row r="49" spans="1:9" x14ac:dyDescent="0.25">
      <c r="A49" s="12"/>
      <c r="B49" s="12"/>
      <c r="C49" s="12" t="s">
        <v>47</v>
      </c>
      <c r="D49" s="12"/>
      <c r="E49" s="2"/>
      <c r="F49" s="13">
        <v>1868.44</v>
      </c>
      <c r="G49" s="12"/>
      <c r="H49" s="13">
        <v>1868.44</v>
      </c>
      <c r="I49" s="12"/>
    </row>
    <row r="50" spans="1:9" x14ac:dyDescent="0.25">
      <c r="A50" s="12"/>
      <c r="B50" s="12"/>
      <c r="C50" s="12" t="s">
        <v>48</v>
      </c>
      <c r="D50" s="12"/>
      <c r="E50" s="2"/>
      <c r="F50" s="13">
        <v>1780</v>
      </c>
      <c r="G50" s="12"/>
      <c r="H50" s="13">
        <v>1780</v>
      </c>
      <c r="I50" s="12"/>
    </row>
    <row r="51" spans="1:9" x14ac:dyDescent="0.25">
      <c r="A51" s="12"/>
      <c r="B51" s="12"/>
      <c r="C51" s="12" t="s">
        <v>49</v>
      </c>
      <c r="D51" s="12"/>
      <c r="E51" s="2"/>
      <c r="F51" s="13">
        <v>133883.85999999999</v>
      </c>
      <c r="G51" s="12"/>
      <c r="H51" s="13">
        <v>133883.85999999999</v>
      </c>
      <c r="I51" s="12"/>
    </row>
    <row r="52" spans="1:9" x14ac:dyDescent="0.25">
      <c r="A52" s="12"/>
      <c r="B52" s="12"/>
      <c r="C52" s="12" t="s">
        <v>50</v>
      </c>
      <c r="D52" s="12"/>
      <c r="E52" s="2"/>
      <c r="F52" s="13">
        <v>26202</v>
      </c>
      <c r="G52" s="12"/>
      <c r="H52" s="13">
        <v>26202</v>
      </c>
      <c r="I52" s="12"/>
    </row>
    <row r="53" spans="1:9" x14ac:dyDescent="0.25">
      <c r="A53" s="12"/>
      <c r="B53" s="12"/>
      <c r="C53" s="12" t="s">
        <v>51</v>
      </c>
      <c r="D53" s="12"/>
      <c r="E53" s="2"/>
      <c r="F53" s="19">
        <v>205325.82</v>
      </c>
      <c r="G53" s="12"/>
      <c r="H53" s="19">
        <v>205325.82</v>
      </c>
      <c r="I53" s="12"/>
    </row>
    <row r="54" spans="1:9" x14ac:dyDescent="0.25">
      <c r="A54" s="12"/>
      <c r="B54" s="12"/>
      <c r="C54" s="12" t="s">
        <v>52</v>
      </c>
      <c r="D54" s="12"/>
      <c r="E54" s="2"/>
      <c r="F54" s="13">
        <v>6500</v>
      </c>
      <c r="G54" s="12"/>
      <c r="H54" s="13">
        <v>6500</v>
      </c>
      <c r="I54" s="12"/>
    </row>
    <row r="55" spans="1:9" x14ac:dyDescent="0.25">
      <c r="A55" s="12"/>
      <c r="B55" s="12"/>
      <c r="C55" s="12" t="s">
        <v>53</v>
      </c>
      <c r="D55" s="12"/>
      <c r="E55" s="2"/>
      <c r="F55" s="13">
        <v>39653.32</v>
      </c>
      <c r="G55" s="12"/>
      <c r="H55" s="13">
        <v>39653.32</v>
      </c>
      <c r="I55" s="12"/>
    </row>
    <row r="56" spans="1:9" x14ac:dyDescent="0.25">
      <c r="A56" s="12"/>
      <c r="B56" s="12"/>
      <c r="C56" s="12" t="s">
        <v>54</v>
      </c>
      <c r="D56" s="12"/>
      <c r="E56" s="2"/>
      <c r="F56" s="13">
        <v>36369.08</v>
      </c>
      <c r="G56" s="12"/>
      <c r="H56" s="13">
        <v>23933.72</v>
      </c>
      <c r="I56" s="12"/>
    </row>
    <row r="57" spans="1:9" x14ac:dyDescent="0.25">
      <c r="A57" s="14"/>
      <c r="B57" s="14" t="s">
        <v>55</v>
      </c>
      <c r="C57" s="14"/>
      <c r="D57" s="14"/>
      <c r="E57" s="15"/>
      <c r="F57" s="9">
        <f>SUM(F58:F60)</f>
        <v>67150.100000000006</v>
      </c>
      <c r="G57" s="6">
        <f>F57/F62*100</f>
        <v>0.25593811005999789</v>
      </c>
      <c r="H57" s="9">
        <v>67150.100000000006</v>
      </c>
      <c r="I57" s="6">
        <f>H57/H62*100</f>
        <v>0.25271613011762045</v>
      </c>
    </row>
    <row r="58" spans="1:9" x14ac:dyDescent="0.25">
      <c r="A58" s="12"/>
      <c r="B58" s="12"/>
      <c r="C58" s="12" t="s">
        <v>56</v>
      </c>
      <c r="D58" s="12"/>
      <c r="E58" s="2"/>
      <c r="F58" s="13">
        <v>62500</v>
      </c>
      <c r="G58" s="12"/>
      <c r="H58" s="13">
        <v>62500</v>
      </c>
      <c r="I58" s="12"/>
    </row>
    <row r="59" spans="1:9" x14ac:dyDescent="0.25">
      <c r="A59" s="12"/>
      <c r="B59" s="12"/>
      <c r="C59" s="12" t="s">
        <v>42</v>
      </c>
      <c r="D59" s="12"/>
      <c r="E59" s="2"/>
      <c r="F59" s="13">
        <f>639.2+2885.9</f>
        <v>3525.1000000000004</v>
      </c>
      <c r="G59" s="12"/>
      <c r="H59" s="13">
        <v>3525.1</v>
      </c>
      <c r="I59" s="12"/>
    </row>
    <row r="60" spans="1:9" x14ac:dyDescent="0.25">
      <c r="A60" s="12"/>
      <c r="B60" s="12"/>
      <c r="C60" s="12" t="s">
        <v>45</v>
      </c>
      <c r="D60" s="12"/>
      <c r="E60" s="2"/>
      <c r="F60" s="13">
        <v>1125</v>
      </c>
      <c r="G60" s="12"/>
      <c r="H60" s="13">
        <v>1125</v>
      </c>
      <c r="I60" s="12"/>
    </row>
    <row r="61" spans="1:9" x14ac:dyDescent="0.25">
      <c r="A61" s="12"/>
      <c r="B61" s="14" t="s">
        <v>57</v>
      </c>
      <c r="C61" s="14"/>
      <c r="D61" s="14"/>
      <c r="E61" s="15"/>
      <c r="F61" s="9">
        <v>-3554657.03</v>
      </c>
      <c r="G61" s="14"/>
      <c r="H61" s="9">
        <v>-2734810.18</v>
      </c>
      <c r="I61" s="14"/>
    </row>
    <row r="62" spans="1:9" x14ac:dyDescent="0.25">
      <c r="A62" s="7" t="s">
        <v>58</v>
      </c>
      <c r="B62" s="7"/>
      <c r="C62" s="7"/>
      <c r="D62" s="7"/>
      <c r="E62" s="4"/>
      <c r="F62" s="20">
        <f>F33+F7</f>
        <v>26236850.770000003</v>
      </c>
      <c r="G62" s="10">
        <f>F62/F62*100</f>
        <v>100</v>
      </c>
      <c r="H62" s="20">
        <v>26571354.969999999</v>
      </c>
      <c r="I62" s="10">
        <f>H62/H62*100</f>
        <v>100</v>
      </c>
    </row>
    <row r="63" spans="1:9" x14ac:dyDescent="0.25">
      <c r="A63" s="7"/>
      <c r="B63" s="7"/>
      <c r="C63" s="7"/>
      <c r="D63" s="7"/>
      <c r="E63" s="4"/>
      <c r="F63" s="20"/>
      <c r="G63" s="10"/>
      <c r="H63" s="20"/>
      <c r="I63" s="10"/>
    </row>
    <row r="64" spans="1:9" x14ac:dyDescent="0.25">
      <c r="A64" s="7"/>
      <c r="B64" s="7"/>
      <c r="C64" s="7"/>
      <c r="D64" s="7"/>
      <c r="E64" s="4"/>
      <c r="F64" s="20"/>
      <c r="G64" s="21"/>
      <c r="H64" s="20"/>
      <c r="I64" s="21"/>
    </row>
    <row r="65" spans="1:9" x14ac:dyDescent="0.25">
      <c r="A65" s="52" t="s">
        <v>194</v>
      </c>
      <c r="B65" s="52"/>
      <c r="C65" s="52"/>
      <c r="D65" s="52"/>
      <c r="E65" s="52"/>
      <c r="F65" s="52"/>
      <c r="G65" s="52"/>
      <c r="H65" s="52"/>
      <c r="I65" s="52"/>
    </row>
    <row r="66" spans="1:9" x14ac:dyDescent="0.25">
      <c r="A66" s="2"/>
      <c r="B66" s="2"/>
      <c r="C66" s="2" t="s">
        <v>59</v>
      </c>
      <c r="D66" s="12"/>
      <c r="E66" s="2"/>
      <c r="F66" s="22"/>
      <c r="G66" s="52" t="s">
        <v>60</v>
      </c>
      <c r="H66" s="52"/>
      <c r="I66" s="2"/>
    </row>
    <row r="67" spans="1:9" x14ac:dyDescent="0.25">
      <c r="A67" s="7"/>
      <c r="B67" s="13"/>
      <c r="C67" s="2" t="s">
        <v>61</v>
      </c>
      <c r="D67" s="12"/>
      <c r="E67" s="2"/>
      <c r="F67" s="23"/>
      <c r="G67" s="52" t="s">
        <v>62</v>
      </c>
      <c r="H67" s="52"/>
      <c r="I67" s="21"/>
    </row>
    <row r="68" spans="1:9" x14ac:dyDescent="0.25">
      <c r="A68" s="7"/>
      <c r="B68" s="13"/>
      <c r="C68" s="24" t="s">
        <v>63</v>
      </c>
      <c r="D68" s="12"/>
      <c r="E68" s="2"/>
      <c r="F68" s="23"/>
      <c r="G68" s="52" t="s">
        <v>64</v>
      </c>
      <c r="H68" s="52"/>
      <c r="I68" s="21"/>
    </row>
    <row r="69" spans="1:9" x14ac:dyDescent="0.25">
      <c r="A69" s="7"/>
      <c r="B69" s="13"/>
      <c r="C69" s="24"/>
      <c r="D69" s="12"/>
      <c r="E69" s="2"/>
      <c r="F69" s="23"/>
      <c r="G69" s="2"/>
      <c r="H69" s="2"/>
      <c r="I69" s="21"/>
    </row>
    <row r="70" spans="1:9" x14ac:dyDescent="0.25">
      <c r="A70" s="7"/>
      <c r="B70" s="13"/>
      <c r="C70" s="24"/>
      <c r="D70" s="12"/>
      <c r="E70" s="2"/>
      <c r="F70" s="23"/>
      <c r="G70" s="2"/>
      <c r="H70" s="2"/>
      <c r="I70" s="21"/>
    </row>
    <row r="71" spans="1:9" x14ac:dyDescent="0.25">
      <c r="A71" s="7"/>
      <c r="B71" s="13"/>
      <c r="C71" s="24"/>
      <c r="D71" s="12"/>
      <c r="E71" s="2"/>
      <c r="F71" s="23"/>
      <c r="G71" s="2"/>
      <c r="H71" s="2"/>
      <c r="I71" s="21"/>
    </row>
    <row r="72" spans="1:9" x14ac:dyDescent="0.25">
      <c r="A72" s="7"/>
      <c r="B72" s="13"/>
      <c r="C72" s="24"/>
      <c r="D72" s="12"/>
      <c r="E72" s="2"/>
      <c r="F72" s="23"/>
      <c r="G72" s="2"/>
      <c r="H72" s="2"/>
      <c r="I72" s="21"/>
    </row>
    <row r="73" spans="1:9" ht="18" x14ac:dyDescent="0.25">
      <c r="A73" s="53" t="s">
        <v>0</v>
      </c>
      <c r="B73" s="53"/>
      <c r="C73" s="53"/>
      <c r="D73" s="53"/>
      <c r="E73" s="53"/>
      <c r="F73" s="53"/>
      <c r="G73" s="53"/>
      <c r="H73" s="53"/>
      <c r="I73" s="53"/>
    </row>
    <row r="74" spans="1:9" x14ac:dyDescent="0.25">
      <c r="A74" s="54" t="s">
        <v>1</v>
      </c>
      <c r="B74" s="54"/>
      <c r="C74" s="54"/>
      <c r="D74" s="54"/>
      <c r="E74" s="54"/>
      <c r="F74" s="54"/>
      <c r="G74" s="54"/>
      <c r="H74" s="54"/>
      <c r="I74" s="54"/>
    </row>
    <row r="75" spans="1:9" x14ac:dyDescent="0.25">
      <c r="A75" s="2"/>
      <c r="B75" s="2"/>
      <c r="C75" s="2"/>
      <c r="D75" s="2"/>
      <c r="E75" s="2"/>
      <c r="F75" s="2"/>
      <c r="G75" s="2"/>
      <c r="H75" s="2"/>
      <c r="I75" s="2"/>
    </row>
    <row r="76" spans="1:9" ht="15.75" x14ac:dyDescent="0.25">
      <c r="A76" s="50" t="s">
        <v>2</v>
      </c>
      <c r="B76" s="50"/>
      <c r="C76" s="50"/>
      <c r="D76" s="50"/>
      <c r="E76" s="50"/>
      <c r="F76" s="50"/>
      <c r="G76" s="50"/>
      <c r="H76" s="50"/>
      <c r="I76" s="50"/>
    </row>
    <row r="77" spans="1:9" x14ac:dyDescent="0.25">
      <c r="A77" s="7"/>
      <c r="B77" s="25"/>
      <c r="C77" s="7"/>
      <c r="D77" s="7"/>
      <c r="E77" s="4"/>
      <c r="F77" s="7"/>
      <c r="G77" s="14"/>
      <c r="H77" s="7"/>
      <c r="I77" s="14"/>
    </row>
    <row r="78" spans="1:9" x14ac:dyDescent="0.25">
      <c r="A78" s="55" t="s">
        <v>65</v>
      </c>
      <c r="B78" s="55"/>
      <c r="C78" s="55"/>
      <c r="D78" s="55"/>
      <c r="E78" s="55"/>
      <c r="F78" s="5">
        <v>43465</v>
      </c>
      <c r="G78" s="6" t="s">
        <v>4</v>
      </c>
      <c r="H78" s="5">
        <v>43100</v>
      </c>
      <c r="I78" s="6" t="s">
        <v>4</v>
      </c>
    </row>
    <row r="79" spans="1:9" ht="19.5" x14ac:dyDescent="0.55000000000000004">
      <c r="A79" s="7" t="s">
        <v>5</v>
      </c>
      <c r="B79" s="25"/>
      <c r="C79" s="7"/>
      <c r="D79" s="7"/>
      <c r="E79" s="4"/>
      <c r="F79" s="16">
        <f>SUM(F80:F90)-F83-F84</f>
        <v>14371773.57</v>
      </c>
      <c r="G79" s="6">
        <f>F79/F99*100</f>
        <v>54.777052688172169</v>
      </c>
      <c r="H79" s="16">
        <v>13154122</v>
      </c>
      <c r="I79" s="6">
        <f>H79/H99*100</f>
        <v>49.504897340957832</v>
      </c>
    </row>
    <row r="80" spans="1:9" x14ac:dyDescent="0.25">
      <c r="A80" s="12"/>
      <c r="B80" s="13"/>
      <c r="C80" s="12" t="s">
        <v>66</v>
      </c>
      <c r="D80" s="12"/>
      <c r="E80" s="2"/>
      <c r="F80" s="13">
        <v>3566835</v>
      </c>
      <c r="G80" s="12"/>
      <c r="H80" s="13">
        <v>3623647.61</v>
      </c>
      <c r="I80" s="12"/>
    </row>
    <row r="81" spans="1:9" x14ac:dyDescent="0.25">
      <c r="A81" s="12"/>
      <c r="B81" s="13" t="s">
        <v>67</v>
      </c>
      <c r="C81" s="12" t="s">
        <v>68</v>
      </c>
      <c r="D81" s="12"/>
      <c r="E81" s="2"/>
      <c r="F81" s="13">
        <v>3464485.53</v>
      </c>
      <c r="G81" s="12"/>
      <c r="H81" s="13">
        <v>3010822.84</v>
      </c>
      <c r="I81" s="12"/>
    </row>
    <row r="82" spans="1:9" x14ac:dyDescent="0.25">
      <c r="A82" s="12"/>
      <c r="B82" s="13"/>
      <c r="C82" s="12" t="s">
        <v>69</v>
      </c>
      <c r="D82" s="12"/>
      <c r="E82" s="2"/>
      <c r="F82" s="13">
        <f>F83+F84</f>
        <v>4341125.8900000006</v>
      </c>
      <c r="G82" s="12"/>
      <c r="H82" s="13">
        <v>3736455.55</v>
      </c>
      <c r="I82" s="12"/>
    </row>
    <row r="83" spans="1:9" x14ac:dyDescent="0.25">
      <c r="A83" s="12"/>
      <c r="B83" s="13"/>
      <c r="C83" s="12" t="s">
        <v>70</v>
      </c>
      <c r="D83" s="12"/>
      <c r="E83" s="2"/>
      <c r="F83" s="13">
        <v>1156115.6000000001</v>
      </c>
      <c r="G83" s="12"/>
      <c r="H83" s="13">
        <v>934492.91</v>
      </c>
      <c r="I83" s="12"/>
    </row>
    <row r="84" spans="1:9" x14ac:dyDescent="0.25">
      <c r="A84" s="12"/>
      <c r="B84" s="13"/>
      <c r="C84" s="12" t="s">
        <v>71</v>
      </c>
      <c r="D84" s="12"/>
      <c r="E84" s="2"/>
      <c r="F84" s="13">
        <v>3185010.29</v>
      </c>
      <c r="G84" s="12"/>
      <c r="H84" s="13">
        <v>2801962.64</v>
      </c>
      <c r="I84" s="12"/>
    </row>
    <row r="85" spans="1:9" x14ac:dyDescent="0.25">
      <c r="A85" s="12"/>
      <c r="B85" s="13"/>
      <c r="C85" s="12" t="s">
        <v>72</v>
      </c>
      <c r="D85" s="12"/>
      <c r="E85" s="2"/>
      <c r="F85" s="13">
        <v>500933.8</v>
      </c>
      <c r="G85" s="12"/>
      <c r="H85" s="13">
        <v>245705.1</v>
      </c>
      <c r="I85" s="12"/>
    </row>
    <row r="86" spans="1:9" x14ac:dyDescent="0.25">
      <c r="A86" s="12"/>
      <c r="B86" s="13"/>
      <c r="C86" s="12" t="s">
        <v>73</v>
      </c>
      <c r="D86" s="12"/>
      <c r="E86" s="2"/>
      <c r="F86" s="13">
        <f>562255.68+726138.08</f>
        <v>1288393.76</v>
      </c>
      <c r="G86" s="12"/>
      <c r="H86" s="13">
        <v>995173.65</v>
      </c>
      <c r="I86" s="12"/>
    </row>
    <row r="87" spans="1:9" x14ac:dyDescent="0.25">
      <c r="A87" s="12"/>
      <c r="B87" s="13"/>
      <c r="C87" s="12" t="s">
        <v>74</v>
      </c>
      <c r="D87" s="12"/>
      <c r="E87" s="2"/>
      <c r="F87" s="13">
        <v>188352.34</v>
      </c>
      <c r="G87" s="12"/>
      <c r="H87" s="13">
        <v>133550.10999999999</v>
      </c>
      <c r="I87" s="12"/>
    </row>
    <row r="88" spans="1:9" x14ac:dyDescent="0.25">
      <c r="A88" s="12"/>
      <c r="B88" s="13"/>
      <c r="C88" s="12" t="s">
        <v>75</v>
      </c>
      <c r="D88" s="12"/>
      <c r="E88" s="2"/>
      <c r="F88" s="13">
        <v>343376.8</v>
      </c>
      <c r="G88" s="12"/>
      <c r="H88" s="13">
        <v>457769.2</v>
      </c>
      <c r="I88" s="12"/>
    </row>
    <row r="89" spans="1:9" x14ac:dyDescent="0.25">
      <c r="A89" s="12"/>
      <c r="B89" s="13"/>
      <c r="C89" s="12" t="s">
        <v>76</v>
      </c>
      <c r="D89" s="12"/>
      <c r="E89" s="2"/>
      <c r="F89" s="13">
        <v>677077.62</v>
      </c>
      <c r="G89" s="12"/>
      <c r="H89" s="13">
        <v>924189.82</v>
      </c>
      <c r="I89" s="12"/>
    </row>
    <row r="90" spans="1:9" x14ac:dyDescent="0.25">
      <c r="A90" s="12"/>
      <c r="B90" s="13"/>
      <c r="C90" s="12" t="s">
        <v>77</v>
      </c>
      <c r="D90" s="12"/>
      <c r="E90" s="2"/>
      <c r="F90" s="13">
        <v>1192.83</v>
      </c>
      <c r="G90" s="12"/>
      <c r="H90" s="13">
        <v>26808.12</v>
      </c>
      <c r="I90" s="12"/>
    </row>
    <row r="91" spans="1:9" ht="19.5" x14ac:dyDescent="0.55000000000000004">
      <c r="A91" s="7" t="s">
        <v>31</v>
      </c>
      <c r="B91" s="26"/>
      <c r="C91" s="27"/>
      <c r="D91" s="27"/>
      <c r="E91" s="1"/>
      <c r="F91" s="16">
        <f>SUM(F93:F95)</f>
        <v>10558358.84</v>
      </c>
      <c r="G91" s="6">
        <f>F91/F99*100</f>
        <v>40.242477775087039</v>
      </c>
      <c r="H91" s="16">
        <v>11410584.98</v>
      </c>
      <c r="I91" s="6">
        <f>H91/H99*100</f>
        <v>42.943180702989935</v>
      </c>
    </row>
    <row r="92" spans="1:9" x14ac:dyDescent="0.25">
      <c r="A92" s="7"/>
      <c r="B92" s="25" t="s">
        <v>78</v>
      </c>
      <c r="C92" s="7"/>
      <c r="D92" s="7"/>
      <c r="E92" s="4"/>
      <c r="F92" s="25">
        <f>SUM(F93:F95)</f>
        <v>10558358.84</v>
      </c>
      <c r="G92" s="6"/>
      <c r="H92" s="25">
        <v>11410584.98</v>
      </c>
      <c r="I92" s="6"/>
    </row>
    <row r="93" spans="1:9" x14ac:dyDescent="0.25">
      <c r="A93" s="14"/>
      <c r="B93" s="13"/>
      <c r="C93" s="12" t="s">
        <v>79</v>
      </c>
      <c r="D93" s="12"/>
      <c r="E93" s="2"/>
      <c r="F93" s="13">
        <v>6827625.5700000003</v>
      </c>
      <c r="G93" s="6"/>
      <c r="H93" s="13">
        <v>6846478.46</v>
      </c>
      <c r="I93" s="6"/>
    </row>
    <row r="94" spans="1:9" x14ac:dyDescent="0.25">
      <c r="A94" s="12"/>
      <c r="B94" s="13"/>
      <c r="C94" s="12" t="s">
        <v>80</v>
      </c>
      <c r="D94" s="12"/>
      <c r="E94" s="2"/>
      <c r="F94" s="13">
        <v>3487826.61</v>
      </c>
      <c r="G94" s="12"/>
      <c r="H94" s="13">
        <v>4310074.55</v>
      </c>
      <c r="I94" s="12"/>
    </row>
    <row r="95" spans="1:9" x14ac:dyDescent="0.25">
      <c r="A95" s="12"/>
      <c r="B95" s="13"/>
      <c r="C95" s="12" t="s">
        <v>81</v>
      </c>
      <c r="D95" s="12"/>
      <c r="E95" s="2"/>
      <c r="F95" s="13">
        <v>242906.66</v>
      </c>
      <c r="G95" s="12"/>
      <c r="H95" s="13">
        <v>254031.97</v>
      </c>
      <c r="I95" s="12"/>
    </row>
    <row r="96" spans="1:9" ht="19.5" x14ac:dyDescent="0.55000000000000004">
      <c r="A96" s="7" t="s">
        <v>82</v>
      </c>
      <c r="B96" s="26"/>
      <c r="C96" s="27"/>
      <c r="D96" s="27"/>
      <c r="E96" s="1"/>
      <c r="F96" s="16">
        <f>SUM(F97:F98)</f>
        <v>1306718.3599999929</v>
      </c>
      <c r="G96" s="6">
        <f>F96/F99*100</f>
        <v>4.9804695367407978</v>
      </c>
      <c r="H96" s="16">
        <v>2006647.9900000058</v>
      </c>
      <c r="I96" s="6">
        <f>H96/H99*100</f>
        <v>7.5519219560522295</v>
      </c>
    </row>
    <row r="97" spans="1:9" x14ac:dyDescent="0.25">
      <c r="A97" s="12"/>
      <c r="B97" s="13"/>
      <c r="C97" s="12" t="s">
        <v>83</v>
      </c>
      <c r="D97" s="12"/>
      <c r="E97" s="2"/>
      <c r="F97" s="13">
        <v>1964874.45</v>
      </c>
      <c r="G97" s="12"/>
      <c r="H97" s="13">
        <v>49336.34</v>
      </c>
      <c r="I97" s="18"/>
    </row>
    <row r="98" spans="1:9" x14ac:dyDescent="0.25">
      <c r="A98" s="27" t="s">
        <v>67</v>
      </c>
      <c r="B98" s="13"/>
      <c r="C98" s="12" t="s">
        <v>84</v>
      </c>
      <c r="D98" s="12"/>
      <c r="E98" s="2"/>
      <c r="F98" s="13">
        <f>'[1]balancete 2018'!$M$203</f>
        <v>-658156.09000000707</v>
      </c>
      <c r="G98" s="12"/>
      <c r="H98" s="13">
        <v>1957311.6500000057</v>
      </c>
      <c r="I98" s="12"/>
    </row>
    <row r="99" spans="1:9" x14ac:dyDescent="0.25">
      <c r="A99" s="7" t="s">
        <v>85</v>
      </c>
      <c r="B99" s="26"/>
      <c r="C99" s="27"/>
      <c r="D99" s="27"/>
      <c r="E99" s="1"/>
      <c r="F99" s="25">
        <f>F96+F91+F79</f>
        <v>26236850.769999992</v>
      </c>
      <c r="G99" s="6">
        <f>F99/F99*100</f>
        <v>100</v>
      </c>
      <c r="H99" s="25">
        <v>26571354.970000006</v>
      </c>
      <c r="I99" s="6">
        <v>100</v>
      </c>
    </row>
    <row r="100" spans="1:9" x14ac:dyDescent="0.25">
      <c r="A100" s="7"/>
      <c r="B100" s="26"/>
      <c r="C100" s="27"/>
      <c r="D100" s="27"/>
      <c r="E100" s="1"/>
      <c r="F100" s="25"/>
      <c r="G100" s="25"/>
      <c r="H100" s="25"/>
      <c r="I100" s="21"/>
    </row>
    <row r="101" spans="1:9" x14ac:dyDescent="0.25">
      <c r="A101" s="7"/>
      <c r="B101" s="26"/>
      <c r="C101" s="27"/>
      <c r="D101" s="27"/>
      <c r="E101" s="1"/>
      <c r="F101" s="25"/>
      <c r="G101" s="25"/>
      <c r="H101" s="25"/>
      <c r="I101" s="21"/>
    </row>
    <row r="102" spans="1:9" x14ac:dyDescent="0.25">
      <c r="A102" s="12"/>
      <c r="B102" s="13"/>
      <c r="C102" s="12"/>
      <c r="D102" s="12"/>
      <c r="E102" s="2"/>
      <c r="F102" s="14"/>
      <c r="G102" s="12"/>
      <c r="H102" s="12"/>
      <c r="I102" s="12"/>
    </row>
    <row r="103" spans="1:9" x14ac:dyDescent="0.25">
      <c r="A103" s="52" t="s">
        <v>194</v>
      </c>
      <c r="B103" s="52"/>
      <c r="C103" s="52"/>
      <c r="D103" s="52"/>
      <c r="E103" s="52"/>
      <c r="F103" s="52"/>
      <c r="G103" s="52"/>
      <c r="H103" s="52"/>
      <c r="I103" s="52"/>
    </row>
    <row r="104" spans="1:9" x14ac:dyDescent="0.25">
      <c r="A104" s="12"/>
      <c r="B104" s="13"/>
      <c r="C104" s="12"/>
      <c r="D104" s="12"/>
      <c r="E104" s="2"/>
      <c r="F104" s="14"/>
      <c r="G104" s="12"/>
      <c r="H104" s="12"/>
      <c r="I104" s="12"/>
    </row>
    <row r="105" spans="1:9" x14ac:dyDescent="0.25">
      <c r="A105" s="12"/>
      <c r="B105" s="13"/>
      <c r="C105" s="12"/>
      <c r="D105" s="12"/>
      <c r="E105" s="2"/>
      <c r="F105" s="14"/>
      <c r="G105" s="12"/>
      <c r="H105" s="12"/>
      <c r="I105" s="12"/>
    </row>
    <row r="106" spans="1:9" x14ac:dyDescent="0.25">
      <c r="A106" s="12"/>
      <c r="B106" s="13"/>
      <c r="C106" s="2" t="s">
        <v>59</v>
      </c>
      <c r="D106" s="12"/>
      <c r="E106" s="2"/>
      <c r="F106" s="22"/>
      <c r="G106" s="52" t="s">
        <v>60</v>
      </c>
      <c r="H106" s="52"/>
      <c r="I106" s="6"/>
    </row>
    <row r="107" spans="1:9" x14ac:dyDescent="0.25">
      <c r="A107" s="12"/>
      <c r="B107" s="13"/>
      <c r="C107" s="2" t="s">
        <v>61</v>
      </c>
      <c r="D107" s="12"/>
      <c r="E107" s="2"/>
      <c r="F107" s="23"/>
      <c r="G107" s="52" t="s">
        <v>62</v>
      </c>
      <c r="H107" s="52"/>
      <c r="I107" s="6"/>
    </row>
    <row r="108" spans="1:9" x14ac:dyDescent="0.25">
      <c r="A108" s="12"/>
      <c r="B108" s="13"/>
      <c r="C108" s="24" t="s">
        <v>63</v>
      </c>
      <c r="D108" s="12"/>
      <c r="E108" s="2"/>
      <c r="F108" s="23"/>
      <c r="G108" s="52" t="s">
        <v>64</v>
      </c>
      <c r="H108" s="52"/>
      <c r="I108" s="6"/>
    </row>
    <row r="109" spans="1:9" x14ac:dyDescent="0.25">
      <c r="A109" s="12"/>
      <c r="B109" s="13"/>
      <c r="C109" s="12"/>
      <c r="D109" s="12"/>
      <c r="E109" s="2"/>
      <c r="F109" s="14"/>
      <c r="G109" s="12"/>
      <c r="H109" s="12"/>
      <c r="I109" s="12"/>
    </row>
    <row r="110" spans="1:9" x14ac:dyDescent="0.25">
      <c r="A110" s="12"/>
      <c r="B110" s="13"/>
      <c r="C110" s="12"/>
      <c r="D110" s="12"/>
      <c r="E110" s="2"/>
      <c r="F110" s="14"/>
      <c r="G110" s="12"/>
      <c r="H110" s="12"/>
      <c r="I110" s="12"/>
    </row>
    <row r="111" spans="1:9" x14ac:dyDescent="0.25">
      <c r="A111" s="12"/>
      <c r="B111" s="13"/>
      <c r="C111" s="12"/>
      <c r="D111" s="12"/>
      <c r="E111" s="2"/>
      <c r="F111" s="14"/>
      <c r="G111" s="12"/>
      <c r="H111" s="12"/>
      <c r="I111" s="12"/>
    </row>
    <row r="112" spans="1:9" x14ac:dyDescent="0.25">
      <c r="A112" s="12"/>
      <c r="B112" s="13"/>
      <c r="C112" s="12"/>
      <c r="D112" s="12"/>
      <c r="E112" s="2"/>
      <c r="F112" s="28"/>
      <c r="G112" s="28"/>
      <c r="H112" s="28"/>
      <c r="I112" s="28"/>
    </row>
    <row r="113" spans="1:9" x14ac:dyDescent="0.25">
      <c r="A113" s="12"/>
      <c r="B113" s="13"/>
      <c r="C113" s="12"/>
      <c r="D113" s="12"/>
      <c r="E113" s="2"/>
      <c r="F113" s="29"/>
      <c r="G113" s="29"/>
      <c r="H113" s="29"/>
      <c r="I113" s="29"/>
    </row>
    <row r="114" spans="1:9" x14ac:dyDescent="0.25">
      <c r="A114" s="12"/>
      <c r="B114" s="13"/>
      <c r="C114" s="12"/>
      <c r="D114" s="12"/>
      <c r="E114" s="2"/>
      <c r="F114" s="14"/>
      <c r="G114" s="12"/>
      <c r="H114" s="12"/>
      <c r="I114" s="12"/>
    </row>
    <row r="115" spans="1:9" x14ac:dyDescent="0.25">
      <c r="A115" s="12"/>
      <c r="B115" s="13"/>
      <c r="C115" s="12"/>
      <c r="D115" s="12"/>
      <c r="E115" s="2"/>
      <c r="F115" s="14"/>
      <c r="G115" s="12"/>
      <c r="H115" s="12"/>
      <c r="I115" s="12"/>
    </row>
    <row r="116" spans="1:9" x14ac:dyDescent="0.25">
      <c r="A116" s="12"/>
      <c r="B116" s="13"/>
      <c r="C116" s="12"/>
      <c r="D116" s="12"/>
      <c r="E116" s="2"/>
      <c r="F116" s="14"/>
      <c r="G116" s="12"/>
      <c r="H116" s="12"/>
      <c r="I116" s="12"/>
    </row>
    <row r="117" spans="1:9" x14ac:dyDescent="0.25">
      <c r="A117" s="12"/>
      <c r="B117" s="13"/>
      <c r="C117" s="12"/>
      <c r="D117" s="12"/>
      <c r="E117" s="2"/>
      <c r="F117" s="14"/>
      <c r="G117" s="12"/>
      <c r="H117" s="12"/>
      <c r="I117" s="12"/>
    </row>
    <row r="118" spans="1:9" x14ac:dyDescent="0.25">
      <c r="A118" s="12"/>
      <c r="B118" s="13"/>
      <c r="C118" s="12"/>
      <c r="D118" s="12"/>
      <c r="E118" s="2"/>
      <c r="F118" s="14"/>
      <c r="G118" s="12"/>
      <c r="H118" s="12"/>
      <c r="I118" s="12"/>
    </row>
    <row r="119" spans="1:9" x14ac:dyDescent="0.25">
      <c r="A119" s="12"/>
      <c r="B119" s="13"/>
      <c r="C119" s="12"/>
      <c r="D119" s="12"/>
      <c r="E119" s="2"/>
      <c r="F119" s="14"/>
      <c r="G119" s="12"/>
      <c r="H119" s="12"/>
      <c r="I119" s="12"/>
    </row>
    <row r="120" spans="1:9" x14ac:dyDescent="0.25">
      <c r="A120" s="12"/>
      <c r="B120" s="13"/>
      <c r="C120" s="12"/>
      <c r="D120" s="12"/>
      <c r="E120" s="2"/>
      <c r="F120" s="14"/>
      <c r="G120" s="12"/>
      <c r="H120" s="12"/>
      <c r="I120" s="12"/>
    </row>
    <row r="121" spans="1:9" x14ac:dyDescent="0.25">
      <c r="A121" s="12"/>
      <c r="B121" s="13"/>
      <c r="C121" s="12"/>
      <c r="D121" s="12"/>
      <c r="E121" s="2"/>
      <c r="F121" s="14"/>
      <c r="G121" s="12"/>
      <c r="H121" s="12"/>
      <c r="I121" s="12"/>
    </row>
    <row r="122" spans="1:9" x14ac:dyDescent="0.25">
      <c r="A122" s="12"/>
      <c r="B122" s="13"/>
      <c r="C122" s="12"/>
      <c r="D122" s="12"/>
      <c r="E122" s="2"/>
      <c r="F122" s="14"/>
      <c r="G122" s="12"/>
      <c r="H122" s="12"/>
      <c r="I122" s="12"/>
    </row>
    <row r="123" spans="1:9" x14ac:dyDescent="0.25">
      <c r="A123" s="12"/>
      <c r="B123" s="13"/>
      <c r="C123" s="12"/>
      <c r="D123" s="12"/>
      <c r="E123" s="2"/>
      <c r="F123" s="14"/>
      <c r="G123" s="12"/>
      <c r="H123" s="12"/>
      <c r="I123" s="12"/>
    </row>
    <row r="124" spans="1:9" x14ac:dyDescent="0.25">
      <c r="A124" s="52"/>
      <c r="B124" s="52"/>
      <c r="C124" s="52"/>
      <c r="D124" s="52"/>
      <c r="E124" s="52"/>
      <c r="F124" s="52"/>
      <c r="G124" s="52"/>
      <c r="H124" s="52"/>
      <c r="I124" s="52"/>
    </row>
    <row r="125" spans="1:9" x14ac:dyDescent="0.25">
      <c r="A125" s="12"/>
      <c r="B125" s="13"/>
      <c r="C125" s="12"/>
      <c r="D125" s="12"/>
      <c r="E125" s="2"/>
      <c r="F125" s="14"/>
      <c r="G125" s="12"/>
      <c r="H125" s="12"/>
      <c r="I125" s="12"/>
    </row>
    <row r="126" spans="1:9" x14ac:dyDescent="0.25">
      <c r="A126" s="12"/>
      <c r="B126" s="13"/>
      <c r="C126" s="12"/>
      <c r="D126" s="12"/>
      <c r="E126" s="2"/>
      <c r="F126" s="14"/>
      <c r="G126" s="12"/>
      <c r="H126" s="12"/>
      <c r="I126" s="12"/>
    </row>
    <row r="127" spans="1:9" x14ac:dyDescent="0.25">
      <c r="A127" s="12"/>
      <c r="B127" s="52"/>
      <c r="C127" s="52"/>
      <c r="D127" s="12"/>
      <c r="E127" s="2"/>
      <c r="F127" s="14"/>
      <c r="G127" s="52"/>
      <c r="H127" s="52"/>
      <c r="I127" s="6"/>
    </row>
    <row r="128" spans="1:9" x14ac:dyDescent="0.25">
      <c r="A128" s="12"/>
      <c r="B128" s="52"/>
      <c r="C128" s="52"/>
      <c r="D128" s="12"/>
      <c r="E128" s="2"/>
      <c r="F128" s="14"/>
      <c r="G128" s="52"/>
      <c r="H128" s="52"/>
      <c r="I128" s="6"/>
    </row>
    <row r="129" spans="1:9" x14ac:dyDescent="0.25">
      <c r="A129" s="12"/>
      <c r="B129" s="52"/>
      <c r="C129" s="52"/>
      <c r="D129" s="12"/>
      <c r="E129" s="2"/>
      <c r="F129" s="14"/>
      <c r="G129" s="52"/>
      <c r="H129" s="52"/>
      <c r="I129" s="6"/>
    </row>
    <row r="130" spans="1:9" x14ac:dyDescent="0.25">
      <c r="A130" s="12"/>
      <c r="B130" s="13"/>
      <c r="C130" s="12"/>
      <c r="D130" s="12"/>
      <c r="E130" s="2"/>
      <c r="F130" s="14"/>
      <c r="G130" s="12"/>
      <c r="H130" s="12"/>
      <c r="I130" s="12"/>
    </row>
    <row r="131" spans="1:9" x14ac:dyDescent="0.25">
      <c r="A131" s="12"/>
      <c r="B131" s="13"/>
      <c r="C131" s="12"/>
      <c r="D131" s="12"/>
      <c r="E131" s="2"/>
      <c r="F131" s="14"/>
      <c r="G131" s="12"/>
      <c r="H131" s="12"/>
      <c r="I131" s="12"/>
    </row>
    <row r="132" spans="1:9" x14ac:dyDescent="0.25">
      <c r="A132" s="12"/>
      <c r="B132" s="13"/>
      <c r="C132" s="12"/>
      <c r="D132" s="12"/>
      <c r="E132" s="2"/>
      <c r="F132" s="14"/>
      <c r="G132" s="12"/>
      <c r="H132" s="12"/>
      <c r="I132" s="12"/>
    </row>
    <row r="133" spans="1:9" x14ac:dyDescent="0.25">
      <c r="A133" s="12"/>
      <c r="B133" s="13"/>
      <c r="C133" s="12"/>
      <c r="D133" s="12"/>
      <c r="E133" s="2"/>
      <c r="F133" s="14"/>
      <c r="G133" s="12"/>
      <c r="H133" s="12"/>
      <c r="I133" s="12"/>
    </row>
    <row r="134" spans="1:9" x14ac:dyDescent="0.25">
      <c r="A134" s="12"/>
      <c r="B134" s="13"/>
      <c r="C134" s="12"/>
      <c r="D134" s="12"/>
      <c r="E134" s="2"/>
      <c r="F134" s="14"/>
      <c r="G134" s="12"/>
      <c r="H134" s="12"/>
      <c r="I134" s="12"/>
    </row>
    <row r="135" spans="1:9" x14ac:dyDescent="0.25">
      <c r="A135" s="12"/>
      <c r="B135" s="13"/>
      <c r="C135" s="12"/>
      <c r="D135" s="12"/>
      <c r="E135" s="2"/>
      <c r="F135" s="14"/>
      <c r="G135" s="12"/>
      <c r="H135" s="12"/>
      <c r="I135" s="12"/>
    </row>
    <row r="136" spans="1:9" x14ac:dyDescent="0.25">
      <c r="A136" s="12"/>
      <c r="B136" s="13"/>
      <c r="C136" s="12"/>
      <c r="D136" s="12"/>
      <c r="E136" s="2"/>
      <c r="F136" s="14"/>
      <c r="G136" s="12"/>
      <c r="H136" s="12"/>
      <c r="I136" s="12"/>
    </row>
    <row r="137" spans="1:9" x14ac:dyDescent="0.25">
      <c r="A137" s="12"/>
      <c r="B137" s="13"/>
      <c r="C137" s="12"/>
      <c r="D137" s="12"/>
      <c r="E137" s="2"/>
      <c r="F137" s="14"/>
      <c r="G137" s="12"/>
      <c r="H137" s="12"/>
      <c r="I137" s="12"/>
    </row>
    <row r="138" spans="1:9" x14ac:dyDescent="0.25">
      <c r="A138" s="12"/>
      <c r="B138" s="13"/>
      <c r="C138" s="12"/>
      <c r="D138" s="12"/>
      <c r="E138" s="2"/>
      <c r="F138" s="14"/>
      <c r="G138" s="12"/>
      <c r="H138" s="12"/>
      <c r="I138" s="12"/>
    </row>
    <row r="139" spans="1:9" x14ac:dyDescent="0.25">
      <c r="A139" s="12"/>
      <c r="B139" s="13"/>
      <c r="C139" s="12"/>
      <c r="D139" s="12"/>
      <c r="E139" s="2"/>
      <c r="F139" s="14"/>
      <c r="G139" s="12"/>
      <c r="H139" s="12"/>
      <c r="I139" s="12"/>
    </row>
    <row r="140" spans="1:9" x14ac:dyDescent="0.25">
      <c r="A140" s="12"/>
      <c r="B140" s="13"/>
      <c r="C140" s="12"/>
      <c r="D140" s="12"/>
      <c r="E140" s="2"/>
      <c r="F140" s="14"/>
      <c r="G140" s="12"/>
      <c r="H140" s="12"/>
      <c r="I140" s="12"/>
    </row>
    <row r="141" spans="1:9" x14ac:dyDescent="0.25">
      <c r="A141" s="12"/>
      <c r="B141" s="13"/>
      <c r="C141" s="12"/>
      <c r="D141" s="12"/>
      <c r="E141" s="2"/>
      <c r="F141" s="14"/>
      <c r="G141" s="12"/>
      <c r="H141" s="12"/>
      <c r="I141" s="12"/>
    </row>
    <row r="142" spans="1:9" x14ac:dyDescent="0.25">
      <c r="A142" s="12"/>
      <c r="B142" s="13"/>
      <c r="C142" s="12"/>
      <c r="D142" s="12"/>
      <c r="E142" s="2"/>
      <c r="F142" s="14"/>
      <c r="G142" s="12"/>
      <c r="H142" s="12"/>
      <c r="I142" s="12"/>
    </row>
    <row r="143" spans="1:9" x14ac:dyDescent="0.25">
      <c r="A143" s="12"/>
      <c r="B143" s="13"/>
      <c r="C143" s="12"/>
      <c r="D143" s="12"/>
      <c r="E143" s="2"/>
      <c r="F143" s="14"/>
      <c r="G143" s="12"/>
      <c r="H143" s="12"/>
      <c r="I143" s="12"/>
    </row>
    <row r="144" spans="1:9" x14ac:dyDescent="0.25">
      <c r="A144" s="12"/>
      <c r="B144" s="13"/>
      <c r="C144" s="12"/>
      <c r="D144" s="12"/>
      <c r="E144" s="2"/>
      <c r="F144" s="14"/>
      <c r="G144" s="12"/>
      <c r="H144" s="12"/>
      <c r="I144" s="12"/>
    </row>
    <row r="145" spans="1:9" x14ac:dyDescent="0.25">
      <c r="A145" s="12"/>
      <c r="B145" s="13"/>
      <c r="C145" s="12"/>
      <c r="D145" s="12"/>
      <c r="E145" s="2"/>
      <c r="F145" s="14"/>
      <c r="G145" s="12"/>
      <c r="H145" s="12"/>
      <c r="I145" s="12"/>
    </row>
    <row r="146" spans="1:9" x14ac:dyDescent="0.25">
      <c r="A146" s="12"/>
      <c r="B146" s="13"/>
      <c r="C146" s="12"/>
      <c r="D146" s="12"/>
      <c r="E146" s="2"/>
      <c r="F146" s="14"/>
      <c r="G146" s="12"/>
      <c r="H146" s="12"/>
      <c r="I146" s="12"/>
    </row>
    <row r="147" spans="1:9" x14ac:dyDescent="0.25">
      <c r="A147" s="12"/>
      <c r="B147" s="13"/>
      <c r="C147" s="12"/>
      <c r="D147" s="12"/>
      <c r="E147" s="2"/>
      <c r="F147" s="14"/>
      <c r="G147" s="12"/>
      <c r="H147" s="12"/>
      <c r="I147" s="12"/>
    </row>
    <row r="148" spans="1:9" x14ac:dyDescent="0.25">
      <c r="A148" s="12"/>
      <c r="B148" s="13"/>
      <c r="C148" s="12"/>
      <c r="D148" s="12"/>
      <c r="E148" s="2"/>
      <c r="F148" s="14"/>
      <c r="G148" s="12"/>
      <c r="H148" s="12"/>
      <c r="I148" s="12"/>
    </row>
    <row r="149" spans="1:9" x14ac:dyDescent="0.25">
      <c r="A149" s="12"/>
      <c r="B149" s="13"/>
      <c r="C149" s="12"/>
      <c r="D149" s="12"/>
      <c r="E149" s="2"/>
      <c r="F149" s="14"/>
      <c r="G149" s="12"/>
      <c r="H149" s="12"/>
      <c r="I149" s="12"/>
    </row>
    <row r="150" spans="1:9" x14ac:dyDescent="0.25">
      <c r="A150" s="12"/>
      <c r="B150" s="13"/>
      <c r="C150" s="12"/>
      <c r="D150" s="12"/>
      <c r="E150" s="2"/>
      <c r="F150" s="14"/>
      <c r="G150" s="12"/>
      <c r="H150" s="12"/>
      <c r="I150" s="12"/>
    </row>
    <row r="151" spans="1:9" x14ac:dyDescent="0.25">
      <c r="A151" s="12"/>
      <c r="B151" s="13"/>
      <c r="C151" s="12"/>
      <c r="D151" s="12"/>
      <c r="E151" s="2"/>
      <c r="F151" s="14"/>
      <c r="G151" s="12"/>
      <c r="H151" s="12"/>
      <c r="I151" s="12"/>
    </row>
    <row r="152" spans="1:9" x14ac:dyDescent="0.25">
      <c r="A152" s="12"/>
      <c r="B152" s="13"/>
      <c r="C152" s="12"/>
      <c r="D152" s="12"/>
      <c r="E152" s="2"/>
      <c r="F152" s="14"/>
      <c r="G152" s="12"/>
      <c r="H152" s="12"/>
      <c r="I152" s="12"/>
    </row>
    <row r="153" spans="1:9" ht="18" x14ac:dyDescent="0.25">
      <c r="A153" s="53" t="s">
        <v>0</v>
      </c>
      <c r="B153" s="53"/>
      <c r="C153" s="53"/>
      <c r="D153" s="53"/>
      <c r="E153" s="53"/>
      <c r="F153" s="53"/>
      <c r="G153" s="53"/>
      <c r="H153" s="53"/>
      <c r="I153" s="53"/>
    </row>
    <row r="154" spans="1:9" x14ac:dyDescent="0.25">
      <c r="A154" s="54" t="s">
        <v>1</v>
      </c>
      <c r="B154" s="54"/>
      <c r="C154" s="54"/>
      <c r="D154" s="54"/>
      <c r="E154" s="54"/>
      <c r="F154" s="54"/>
      <c r="G154" s="54"/>
      <c r="H154" s="54"/>
      <c r="I154" s="54"/>
    </row>
    <row r="155" spans="1:9" x14ac:dyDescent="0.25">
      <c r="A155" s="1"/>
      <c r="B155" s="1"/>
      <c r="C155" s="1"/>
      <c r="D155" s="1"/>
      <c r="E155" s="1"/>
      <c r="F155" s="1"/>
      <c r="G155" s="1"/>
      <c r="H155" s="1"/>
      <c r="I155" s="1"/>
    </row>
    <row r="156" spans="1:9" ht="15.75" x14ac:dyDescent="0.25">
      <c r="A156" s="50" t="s">
        <v>86</v>
      </c>
      <c r="B156" s="50"/>
      <c r="C156" s="50"/>
      <c r="D156" s="50"/>
      <c r="E156" s="50"/>
      <c r="F156" s="50"/>
      <c r="G156" s="50"/>
      <c r="H156" s="50"/>
      <c r="I156" s="50"/>
    </row>
    <row r="157" spans="1:9" x14ac:dyDescent="0.25">
      <c r="A157" s="12"/>
      <c r="B157" s="13"/>
      <c r="C157" s="12"/>
      <c r="D157" s="12"/>
      <c r="E157" s="2"/>
      <c r="F157" s="14"/>
      <c r="G157" s="12"/>
      <c r="H157" s="12"/>
      <c r="I157" s="12"/>
    </row>
    <row r="158" spans="1:9" x14ac:dyDescent="0.25">
      <c r="A158" s="12"/>
      <c r="B158" s="13"/>
      <c r="C158" s="12"/>
      <c r="D158" s="12"/>
      <c r="E158" s="2"/>
      <c r="F158" s="5">
        <v>43465</v>
      </c>
      <c r="G158" s="6" t="s">
        <v>4</v>
      </c>
      <c r="H158" s="5">
        <v>43100</v>
      </c>
      <c r="I158" s="6" t="s">
        <v>4</v>
      </c>
    </row>
    <row r="159" spans="1:9" x14ac:dyDescent="0.25">
      <c r="A159" s="30"/>
      <c r="B159" s="25"/>
      <c r="C159" s="7"/>
      <c r="D159" s="7"/>
      <c r="E159" s="4"/>
      <c r="F159" s="25"/>
      <c r="G159" s="6"/>
      <c r="H159" s="25"/>
      <c r="I159" s="6"/>
    </row>
    <row r="160" spans="1:9" x14ac:dyDescent="0.25">
      <c r="A160" s="7" t="s">
        <v>87</v>
      </c>
      <c r="B160" s="7"/>
      <c r="C160" s="7"/>
      <c r="D160" s="7"/>
      <c r="E160" s="7"/>
      <c r="F160" s="31">
        <f>F162+F163+F164+F169+F172+F171</f>
        <v>38911781.25</v>
      </c>
      <c r="G160" s="10">
        <f>F160/F160*100</f>
        <v>100</v>
      </c>
      <c r="H160" s="31">
        <v>34962934.540000007</v>
      </c>
      <c r="I160" s="10">
        <f>H160/H160*100</f>
        <v>100</v>
      </c>
    </row>
    <row r="161" spans="1:9" x14ac:dyDescent="0.25">
      <c r="A161" s="7" t="s">
        <v>88</v>
      </c>
      <c r="B161" s="7"/>
      <c r="C161" s="7"/>
      <c r="D161" s="7"/>
      <c r="E161" s="7"/>
      <c r="F161" s="31">
        <f>F162+F163+F164+F169+F171</f>
        <v>25644624.470000003</v>
      </c>
      <c r="G161" s="10"/>
      <c r="H161" s="31">
        <v>22405682.580000002</v>
      </c>
      <c r="I161" s="10"/>
    </row>
    <row r="162" spans="1:9" x14ac:dyDescent="0.25">
      <c r="A162" s="27"/>
      <c r="B162" s="19" t="s">
        <v>89</v>
      </c>
      <c r="C162" s="12"/>
      <c r="D162" s="12"/>
      <c r="E162" s="12"/>
      <c r="F162" s="24">
        <v>10575847.08</v>
      </c>
      <c r="G162" s="13">
        <f>F162/F$160*100</f>
        <v>27.179036117756755</v>
      </c>
      <c r="H162" s="24">
        <v>9389053.3800000008</v>
      </c>
      <c r="I162" s="13">
        <f>H162/H$160*100</f>
        <v>26.854305862851064</v>
      </c>
    </row>
    <row r="163" spans="1:9" x14ac:dyDescent="0.25">
      <c r="A163" s="27"/>
      <c r="B163" s="19" t="s">
        <v>90</v>
      </c>
      <c r="C163" s="12"/>
      <c r="D163" s="12"/>
      <c r="E163" s="12"/>
      <c r="F163" s="24">
        <v>2141068.0499999998</v>
      </c>
      <c r="G163" s="13">
        <f>F163/F$160*100</f>
        <v>5.5023645313075971</v>
      </c>
      <c r="H163" s="24">
        <v>2121262.23</v>
      </c>
      <c r="I163" s="13">
        <f>H163/H$160*100</f>
        <v>6.0671744460498012</v>
      </c>
    </row>
    <row r="164" spans="1:9" x14ac:dyDescent="0.25">
      <c r="A164" s="27"/>
      <c r="B164" s="12" t="s">
        <v>91</v>
      </c>
      <c r="C164" s="12"/>
      <c r="D164" s="12"/>
      <c r="E164" s="12"/>
      <c r="F164" s="24">
        <f>SUM(F165:F168)</f>
        <v>10231154.690000001</v>
      </c>
      <c r="G164" s="13">
        <f>F164/F$160*100</f>
        <v>26.293205711316546</v>
      </c>
      <c r="H164" s="24">
        <v>8605410.9399999995</v>
      </c>
      <c r="I164" s="13">
        <f>H164/H$160*100</f>
        <v>24.612953841602788</v>
      </c>
    </row>
    <row r="165" spans="1:9" x14ac:dyDescent="0.25">
      <c r="A165" s="27"/>
      <c r="B165" s="12"/>
      <c r="C165" s="12" t="s">
        <v>92</v>
      </c>
      <c r="D165" s="12"/>
      <c r="E165" s="12"/>
      <c r="F165" s="24">
        <v>3807519.75</v>
      </c>
      <c r="G165" s="13"/>
      <c r="H165" s="24">
        <v>2924281.64</v>
      </c>
      <c r="I165" s="13"/>
    </row>
    <row r="166" spans="1:9" x14ac:dyDescent="0.25">
      <c r="A166" s="27"/>
      <c r="B166" s="12"/>
      <c r="C166" s="12" t="s">
        <v>93</v>
      </c>
      <c r="D166" s="12"/>
      <c r="E166" s="12"/>
      <c r="F166" s="24">
        <v>3359568.8</v>
      </c>
      <c r="G166" s="13"/>
      <c r="H166" s="24">
        <v>3007000.04</v>
      </c>
      <c r="I166" s="13"/>
    </row>
    <row r="167" spans="1:9" x14ac:dyDescent="0.25">
      <c r="A167" s="27"/>
      <c r="B167" s="12"/>
      <c r="C167" s="12" t="s">
        <v>94</v>
      </c>
      <c r="D167" s="12"/>
      <c r="E167" s="12"/>
      <c r="F167" s="24">
        <v>1921295.77</v>
      </c>
      <c r="G167" s="13"/>
      <c r="H167" s="24">
        <v>1622135.71</v>
      </c>
      <c r="I167" s="13"/>
    </row>
    <row r="168" spans="1:9" x14ac:dyDescent="0.25">
      <c r="A168" s="27"/>
      <c r="B168" s="12"/>
      <c r="C168" s="12" t="s">
        <v>95</v>
      </c>
      <c r="D168" s="12"/>
      <c r="E168" s="12"/>
      <c r="F168" s="24">
        <v>1142770.3700000001</v>
      </c>
      <c r="G168" s="13"/>
      <c r="H168" s="24">
        <v>1051993.55</v>
      </c>
      <c r="I168" s="13"/>
    </row>
    <row r="169" spans="1:9" x14ac:dyDescent="0.25">
      <c r="A169" s="27"/>
      <c r="B169" s="12" t="s">
        <v>96</v>
      </c>
      <c r="C169" s="12"/>
      <c r="D169" s="12"/>
      <c r="E169" s="12"/>
      <c r="F169" s="24">
        <v>1969882.55</v>
      </c>
      <c r="G169" s="13">
        <f>F169/F$160*100</f>
        <v>5.0624322164640052</v>
      </c>
      <c r="H169" s="24">
        <v>1652572.19</v>
      </c>
      <c r="I169" s="13">
        <f>H169/H$160*100</f>
        <v>4.7266404028796369</v>
      </c>
    </row>
    <row r="170" spans="1:9" x14ac:dyDescent="0.25">
      <c r="A170" s="27"/>
      <c r="B170" s="12" t="s">
        <v>97</v>
      </c>
      <c r="C170" s="12"/>
      <c r="D170" s="12"/>
      <c r="E170" s="12"/>
      <c r="F170" s="24">
        <v>-154903.63</v>
      </c>
      <c r="G170" s="13">
        <f>F170/F$160*100</f>
        <v>-0.39808928047980324</v>
      </c>
      <c r="H170" s="24">
        <v>-161521.95000000001</v>
      </c>
      <c r="I170" s="13">
        <f>H170/H$160*100</f>
        <v>-0.46198052916641696</v>
      </c>
    </row>
    <row r="171" spans="1:9" x14ac:dyDescent="0.25">
      <c r="A171" s="27"/>
      <c r="B171" s="12" t="s">
        <v>98</v>
      </c>
      <c r="C171" s="12"/>
      <c r="D171" s="12"/>
      <c r="E171" s="12"/>
      <c r="F171" s="24">
        <v>726672.1</v>
      </c>
      <c r="G171" s="13">
        <f>F171/F$160*100</f>
        <v>1.8674860843076926</v>
      </c>
      <c r="H171" s="24">
        <v>637383.84</v>
      </c>
      <c r="I171" s="13">
        <f>H171/H$160*100</f>
        <v>1.8230272955800919</v>
      </c>
    </row>
    <row r="172" spans="1:9" x14ac:dyDescent="0.25">
      <c r="A172" s="7" t="s">
        <v>99</v>
      </c>
      <c r="B172" s="14"/>
      <c r="C172" s="14"/>
      <c r="D172" s="14"/>
      <c r="E172" s="14"/>
      <c r="F172" s="10">
        <f>F173</f>
        <v>13267156.779999999</v>
      </c>
      <c r="G172" s="13">
        <f>F172/F$160*100</f>
        <v>34.095475338847407</v>
      </c>
      <c r="H172" s="10">
        <v>12557251.960000001</v>
      </c>
      <c r="I172" s="13">
        <f>H172/H$160*100</f>
        <v>35.915898151036608</v>
      </c>
    </row>
    <row r="173" spans="1:9" x14ac:dyDescent="0.25">
      <c r="A173" s="27"/>
      <c r="B173" s="12" t="s">
        <v>100</v>
      </c>
      <c r="C173" s="12"/>
      <c r="D173" s="12"/>
      <c r="E173" s="12"/>
      <c r="F173" s="24">
        <v>13267156.779999999</v>
      </c>
      <c r="G173" s="13"/>
      <c r="H173" s="24">
        <v>12557251.960000001</v>
      </c>
      <c r="I173" s="13"/>
    </row>
    <row r="174" spans="1:9" x14ac:dyDescent="0.25">
      <c r="A174" s="7" t="s">
        <v>101</v>
      </c>
      <c r="B174" s="14"/>
      <c r="C174" s="14"/>
      <c r="D174" s="14"/>
      <c r="E174" s="14"/>
      <c r="F174" s="31">
        <f>F160+F170</f>
        <v>38756877.619999997</v>
      </c>
      <c r="G174" s="13">
        <f>F174/F$160*100</f>
        <v>99.601910719520191</v>
      </c>
      <c r="H174" s="31">
        <v>34801412.590000004</v>
      </c>
      <c r="I174" s="13">
        <f>H174/H$160*100</f>
        <v>99.538019470833575</v>
      </c>
    </row>
    <row r="175" spans="1:9" x14ac:dyDescent="0.25">
      <c r="A175" s="7" t="s">
        <v>102</v>
      </c>
      <c r="B175" s="7"/>
      <c r="C175" s="7"/>
      <c r="D175" s="7"/>
      <c r="E175" s="7"/>
      <c r="F175" s="31">
        <f>F176+F179+F182+F183+F184+F185</f>
        <v>40990229.300000004</v>
      </c>
      <c r="G175" s="9">
        <f>F175/F$160*100</f>
        <v>105.34143640622982</v>
      </c>
      <c r="H175" s="31">
        <v>35838016.149999999</v>
      </c>
      <c r="I175" s="9">
        <f>H175/H$160*100</f>
        <v>102.50288375822353</v>
      </c>
    </row>
    <row r="176" spans="1:9" x14ac:dyDescent="0.25">
      <c r="A176" s="27"/>
      <c r="B176" s="14" t="s">
        <v>103</v>
      </c>
      <c r="C176" s="14"/>
      <c r="D176" s="14"/>
      <c r="E176" s="14"/>
      <c r="F176" s="10">
        <f>F177+F178</f>
        <v>15750391</v>
      </c>
      <c r="G176" s="9">
        <f>F176/F$160*100</f>
        <v>40.477178103996458</v>
      </c>
      <c r="H176" s="10">
        <v>14938482.380000001</v>
      </c>
      <c r="I176" s="9">
        <f>H176/H$160*100</f>
        <v>42.726626287359679</v>
      </c>
    </row>
    <row r="177" spans="1:9" x14ac:dyDescent="0.25">
      <c r="A177" s="27"/>
      <c r="B177" s="12"/>
      <c r="C177" s="12" t="s">
        <v>104</v>
      </c>
      <c r="D177" s="12"/>
      <c r="E177" s="12"/>
      <c r="F177" s="24">
        <v>14552937.279999999</v>
      </c>
      <c r="G177" s="13"/>
      <c r="H177" s="24">
        <v>13811343.390000001</v>
      </c>
      <c r="I177" s="13"/>
    </row>
    <row r="178" spans="1:9" x14ac:dyDescent="0.25">
      <c r="A178" s="7"/>
      <c r="B178" s="14"/>
      <c r="C178" s="12" t="s">
        <v>105</v>
      </c>
      <c r="D178" s="12"/>
      <c r="E178" s="12"/>
      <c r="F178" s="24">
        <v>1197453.72</v>
      </c>
      <c r="G178" s="13"/>
      <c r="H178" s="24">
        <v>1127138.99</v>
      </c>
      <c r="I178" s="13"/>
    </row>
    <row r="179" spans="1:9" x14ac:dyDescent="0.25">
      <c r="A179" s="27"/>
      <c r="B179" s="14" t="s">
        <v>106</v>
      </c>
      <c r="C179" s="14"/>
      <c r="D179" s="14"/>
      <c r="E179" s="14"/>
      <c r="F179" s="10">
        <f>F180+F181</f>
        <v>13719986.07</v>
      </c>
      <c r="G179" s="9">
        <f>F179/F$160*100</f>
        <v>35.2592084691574</v>
      </c>
      <c r="H179" s="10">
        <v>11922139.210000001</v>
      </c>
      <c r="I179" s="9">
        <f>H179/H$160*100</f>
        <v>34.099366563067676</v>
      </c>
    </row>
    <row r="180" spans="1:9" x14ac:dyDescent="0.25">
      <c r="A180" s="27"/>
      <c r="B180" s="12"/>
      <c r="C180" s="12" t="s">
        <v>107</v>
      </c>
      <c r="D180" s="12"/>
      <c r="E180" s="12"/>
      <c r="F180" s="24">
        <v>6146757.5499999998</v>
      </c>
      <c r="G180" s="13"/>
      <c r="H180" s="24">
        <v>5227606.41</v>
      </c>
      <c r="I180" s="13"/>
    </row>
    <row r="181" spans="1:9" x14ac:dyDescent="0.25">
      <c r="A181" s="7"/>
      <c r="B181" s="14"/>
      <c r="C181" s="12" t="s">
        <v>108</v>
      </c>
      <c r="D181" s="12"/>
      <c r="E181" s="12"/>
      <c r="F181" s="24">
        <v>7573228.5199999996</v>
      </c>
      <c r="G181" s="13"/>
      <c r="H181" s="24">
        <v>6694532.7999999998</v>
      </c>
      <c r="I181" s="13"/>
    </row>
    <row r="182" spans="1:9" x14ac:dyDescent="0.25">
      <c r="A182" s="27"/>
      <c r="B182" s="14" t="s">
        <v>109</v>
      </c>
      <c r="C182" s="14"/>
      <c r="D182" s="14"/>
      <c r="E182" s="14"/>
      <c r="F182" s="10">
        <v>7668913.7599999998</v>
      </c>
      <c r="G182" s="9">
        <f>F182/F$160*100</f>
        <v>19.708462356757313</v>
      </c>
      <c r="H182" s="10">
        <v>5746804.7599999998</v>
      </c>
      <c r="I182" s="9">
        <f>H182/H$160*100</f>
        <v>16.436849010557907</v>
      </c>
    </row>
    <row r="183" spans="1:9" x14ac:dyDescent="0.25">
      <c r="A183" s="7"/>
      <c r="B183" s="14" t="s">
        <v>110</v>
      </c>
      <c r="C183" s="14"/>
      <c r="D183" s="14"/>
      <c r="E183" s="14"/>
      <c r="F183" s="10">
        <v>1091162.3400000001</v>
      </c>
      <c r="G183" s="9">
        <f>F183/F$160*100</f>
        <v>2.8041952975360132</v>
      </c>
      <c r="H183" s="10">
        <v>1027389.36</v>
      </c>
      <c r="I183" s="9">
        <f>H183/H$160*100</f>
        <v>2.9385100922366676</v>
      </c>
    </row>
    <row r="184" spans="1:9" x14ac:dyDescent="0.25">
      <c r="A184" s="27"/>
      <c r="B184" s="14" t="s">
        <v>111</v>
      </c>
      <c r="C184" s="14"/>
      <c r="D184" s="14"/>
      <c r="E184" s="14"/>
      <c r="F184" s="10">
        <v>236895.93</v>
      </c>
      <c r="G184" s="9">
        <f>F184/F$160*100</f>
        <v>0.60880258469277859</v>
      </c>
      <c r="H184" s="10">
        <v>177464.25</v>
      </c>
      <c r="I184" s="9">
        <f>H184/H$160*100</f>
        <v>0.50757824631959503</v>
      </c>
    </row>
    <row r="185" spans="1:9" x14ac:dyDescent="0.25">
      <c r="A185" s="27"/>
      <c r="B185" s="14" t="s">
        <v>112</v>
      </c>
      <c r="C185" s="14"/>
      <c r="D185" s="14"/>
      <c r="E185" s="14"/>
      <c r="F185" s="10">
        <f>F186+F187+F190+F191+F188+F189</f>
        <v>2522880.2000000002</v>
      </c>
      <c r="G185" s="9">
        <f>F185/F$160*100</f>
        <v>6.4835895940898363</v>
      </c>
      <c r="H185" s="10">
        <f>H186+H187+H190+H191+H188+H189</f>
        <v>2025736.19</v>
      </c>
      <c r="I185" s="9">
        <f>H185/H$160*100</f>
        <v>5.7939535586820332</v>
      </c>
    </row>
    <row r="186" spans="1:9" x14ac:dyDescent="0.25">
      <c r="A186" s="7"/>
      <c r="B186" s="14"/>
      <c r="C186" s="12" t="s">
        <v>113</v>
      </c>
      <c r="D186" s="12"/>
      <c r="E186" s="12"/>
      <c r="F186" s="24">
        <v>819846.85</v>
      </c>
      <c r="G186" s="9"/>
      <c r="H186" s="24">
        <v>663341.21</v>
      </c>
      <c r="I186" s="9"/>
    </row>
    <row r="187" spans="1:9" x14ac:dyDescent="0.25">
      <c r="A187" s="7"/>
      <c r="B187" s="14"/>
      <c r="C187" s="12" t="s">
        <v>114</v>
      </c>
      <c r="D187" s="12"/>
      <c r="E187" s="12"/>
      <c r="F187" s="24">
        <v>10847.06</v>
      </c>
      <c r="G187" s="13"/>
      <c r="H187" s="24">
        <v>9906.7999999999993</v>
      </c>
      <c r="I187" s="13"/>
    </row>
    <row r="188" spans="1:9" x14ac:dyDescent="0.25">
      <c r="A188" s="7"/>
      <c r="B188" s="14"/>
      <c r="C188" s="12" t="s">
        <v>115</v>
      </c>
      <c r="D188" s="12"/>
      <c r="E188" s="12"/>
      <c r="F188" s="24">
        <v>1003787.84</v>
      </c>
      <c r="G188" s="13"/>
      <c r="H188" s="24">
        <v>829689.93</v>
      </c>
      <c r="I188" s="13"/>
    </row>
    <row r="189" spans="1:9" x14ac:dyDescent="0.25">
      <c r="A189" s="7"/>
      <c r="B189" s="14"/>
      <c r="C189" s="12" t="s">
        <v>116</v>
      </c>
      <c r="D189" s="12"/>
      <c r="E189" s="12"/>
      <c r="F189" s="24">
        <v>432074.16</v>
      </c>
      <c r="G189" s="13"/>
      <c r="H189" s="24">
        <v>297695.67</v>
      </c>
      <c r="I189" s="13"/>
    </row>
    <row r="190" spans="1:9" x14ac:dyDescent="0.25">
      <c r="A190" s="27"/>
      <c r="B190" s="12"/>
      <c r="C190" s="12" t="s">
        <v>117</v>
      </c>
      <c r="D190" s="12"/>
      <c r="E190" s="12"/>
      <c r="F190" s="24">
        <f>1670911.09-1003787.84-432074.16</f>
        <v>235049.09000000014</v>
      </c>
      <c r="G190" s="13"/>
      <c r="H190" s="24">
        <f>1342802.06-829689.93-297695.67</f>
        <v>215416.46000000002</v>
      </c>
      <c r="I190" s="13"/>
    </row>
    <row r="191" spans="1:9" x14ac:dyDescent="0.25">
      <c r="A191" s="27"/>
      <c r="B191" s="12"/>
      <c r="C191" s="12" t="s">
        <v>118</v>
      </c>
      <c r="D191" s="12"/>
      <c r="E191" s="12"/>
      <c r="F191" s="24">
        <v>21275.200000000001</v>
      </c>
      <c r="G191" s="13"/>
      <c r="H191" s="24">
        <v>9686.1200000000008</v>
      </c>
      <c r="I191" s="13"/>
    </row>
    <row r="192" spans="1:9" x14ac:dyDescent="0.25">
      <c r="A192" s="7" t="s">
        <v>119</v>
      </c>
      <c r="B192" s="7"/>
      <c r="C192" s="7"/>
      <c r="D192" s="7"/>
      <c r="E192" s="7"/>
      <c r="F192" s="31">
        <f>F174-F175</f>
        <v>-2233351.6800000072</v>
      </c>
      <c r="G192" s="9">
        <f>F192/F$160*100</f>
        <v>-5.7395256867096185</v>
      </c>
      <c r="H192" s="31">
        <v>-1036603.5599999949</v>
      </c>
      <c r="I192" s="9">
        <f>H192/H$160*100</f>
        <v>-2.9648642873899758</v>
      </c>
    </row>
    <row r="193" spans="1:9" x14ac:dyDescent="0.25">
      <c r="A193" s="7" t="s">
        <v>120</v>
      </c>
      <c r="B193" s="7"/>
      <c r="C193" s="7"/>
      <c r="D193" s="7"/>
      <c r="E193" s="7"/>
      <c r="F193" s="31">
        <f>[2]Plan2!$F$21</f>
        <v>3864643.8603599994</v>
      </c>
      <c r="G193" s="9"/>
      <c r="H193" s="31">
        <v>3654852.0138199995</v>
      </c>
      <c r="I193" s="9"/>
    </row>
    <row r="194" spans="1:9" x14ac:dyDescent="0.25">
      <c r="A194" s="7" t="s">
        <v>121</v>
      </c>
      <c r="B194" s="7"/>
      <c r="C194" s="7"/>
      <c r="D194" s="7"/>
      <c r="E194" s="7"/>
      <c r="F194" s="31">
        <f>-F193</f>
        <v>-3864643.8603599994</v>
      </c>
      <c r="G194" s="9"/>
      <c r="H194" s="31">
        <v>-3654852.0138199995</v>
      </c>
      <c r="I194" s="9"/>
    </row>
    <row r="195" spans="1:9" x14ac:dyDescent="0.25">
      <c r="A195" s="7" t="s">
        <v>122</v>
      </c>
      <c r="B195" s="7"/>
      <c r="C195" s="7"/>
      <c r="D195" s="7"/>
      <c r="E195" s="7"/>
      <c r="F195" s="31">
        <f>SUM(F196:F203)</f>
        <v>4073527.2</v>
      </c>
      <c r="G195" s="9">
        <f>F195/F$160*100</f>
        <v>10.468621762207302</v>
      </c>
      <c r="H195" s="31">
        <v>5528392.9800000004</v>
      </c>
      <c r="I195" s="9">
        <f>H195/H$160*100</f>
        <v>15.812153792969347</v>
      </c>
    </row>
    <row r="196" spans="1:9" x14ac:dyDescent="0.25">
      <c r="A196" s="27"/>
      <c r="B196" s="12" t="s">
        <v>123</v>
      </c>
      <c r="C196" s="12"/>
      <c r="D196" s="12"/>
      <c r="E196" s="12"/>
      <c r="F196" s="24">
        <v>67484.850000000006</v>
      </c>
      <c r="G196" s="9"/>
      <c r="H196" s="24">
        <v>72866.179999999993</v>
      </c>
      <c r="I196" s="9"/>
    </row>
    <row r="197" spans="1:9" x14ac:dyDescent="0.25">
      <c r="A197" s="27"/>
      <c r="B197" s="12" t="s">
        <v>124</v>
      </c>
      <c r="C197" s="12"/>
      <c r="D197" s="12"/>
      <c r="E197" s="12"/>
      <c r="F197" s="24">
        <v>750670</v>
      </c>
      <c r="G197" s="9"/>
      <c r="H197" s="24">
        <v>0</v>
      </c>
      <c r="I197" s="9"/>
    </row>
    <row r="198" spans="1:9" x14ac:dyDescent="0.25">
      <c r="A198" s="27"/>
      <c r="B198" s="12" t="s">
        <v>125</v>
      </c>
      <c r="C198" s="12"/>
      <c r="D198" s="12"/>
      <c r="E198" s="12"/>
      <c r="F198" s="24">
        <f>1044302.13-750670</f>
        <v>293632.13</v>
      </c>
      <c r="G198" s="13"/>
      <c r="H198" s="24">
        <v>237431.21</v>
      </c>
      <c r="I198" s="13"/>
    </row>
    <row r="199" spans="1:9" x14ac:dyDescent="0.25">
      <c r="A199" s="27"/>
      <c r="B199" s="12" t="s">
        <v>126</v>
      </c>
      <c r="C199" s="12"/>
      <c r="D199" s="12"/>
      <c r="E199" s="12"/>
      <c r="F199" s="24">
        <v>1290776.28</v>
      </c>
      <c r="G199" s="13"/>
      <c r="H199" s="24">
        <v>2243813.5699999998</v>
      </c>
      <c r="I199" s="13"/>
    </row>
    <row r="200" spans="1:9" x14ac:dyDescent="0.25">
      <c r="A200" s="27"/>
      <c r="B200" s="51" t="s">
        <v>127</v>
      </c>
      <c r="C200" s="51"/>
      <c r="D200" s="51"/>
      <c r="E200" s="12"/>
      <c r="F200" s="24">
        <v>1090057.6000000001</v>
      </c>
      <c r="G200" s="13"/>
      <c r="H200" s="24">
        <v>1038286.58</v>
      </c>
      <c r="I200" s="13"/>
    </row>
    <row r="201" spans="1:9" x14ac:dyDescent="0.25">
      <c r="A201" s="27"/>
      <c r="B201" s="12" t="s">
        <v>128</v>
      </c>
      <c r="C201" s="12"/>
      <c r="D201" s="22"/>
      <c r="E201" s="12"/>
      <c r="F201" s="24">
        <v>0</v>
      </c>
      <c r="G201" s="13"/>
      <c r="H201" s="24">
        <v>1455878.57</v>
      </c>
      <c r="I201" s="13"/>
    </row>
    <row r="202" spans="1:9" x14ac:dyDescent="0.25">
      <c r="A202" s="27"/>
      <c r="B202" s="12" t="s">
        <v>129</v>
      </c>
      <c r="C202" s="12"/>
      <c r="D202" s="22"/>
      <c r="E202" s="12"/>
      <c r="F202" s="24">
        <v>279508.14</v>
      </c>
      <c r="G202" s="13"/>
      <c r="H202" s="24">
        <v>272147.27</v>
      </c>
      <c r="I202" s="13"/>
    </row>
    <row r="203" spans="1:9" x14ac:dyDescent="0.25">
      <c r="A203" s="27"/>
      <c r="B203" s="12" t="s">
        <v>130</v>
      </c>
      <c r="C203" s="12"/>
      <c r="D203" s="12"/>
      <c r="E203" s="12"/>
      <c r="F203" s="24">
        <v>301398.2</v>
      </c>
      <c r="G203" s="9"/>
      <c r="H203" s="24">
        <v>207969.6</v>
      </c>
      <c r="I203" s="9"/>
    </row>
    <row r="204" spans="1:9" x14ac:dyDescent="0.25">
      <c r="A204" s="7" t="s">
        <v>131</v>
      </c>
      <c r="B204" s="7"/>
      <c r="C204" s="7"/>
      <c r="D204" s="7"/>
      <c r="E204" s="7"/>
      <c r="F204" s="31">
        <f>F205</f>
        <v>137454.93</v>
      </c>
      <c r="G204" s="13"/>
      <c r="H204" s="31">
        <v>98573.58</v>
      </c>
      <c r="I204" s="13"/>
    </row>
    <row r="205" spans="1:9" x14ac:dyDescent="0.25">
      <c r="A205" s="27"/>
      <c r="B205" s="12" t="s">
        <v>132</v>
      </c>
      <c r="C205" s="12"/>
      <c r="D205" s="12"/>
      <c r="E205" s="12"/>
      <c r="F205" s="24">
        <v>137454.93</v>
      </c>
      <c r="G205" s="13"/>
      <c r="H205" s="24">
        <v>98573.58</v>
      </c>
      <c r="I205" s="13"/>
    </row>
    <row r="206" spans="1:9" x14ac:dyDescent="0.25">
      <c r="A206" s="7" t="s">
        <v>133</v>
      </c>
      <c r="B206" s="7"/>
      <c r="C206" s="7"/>
      <c r="D206" s="7"/>
      <c r="E206" s="7"/>
      <c r="F206" s="31">
        <f>F207</f>
        <v>2469766.2599999998</v>
      </c>
      <c r="G206" s="9">
        <f>F206/F$160*100</f>
        <v>6.347091242449868</v>
      </c>
      <c r="H206" s="31">
        <v>2733176.76</v>
      </c>
      <c r="I206" s="9">
        <f>H206/H$160*100</f>
        <v>7.8173551389774136</v>
      </c>
    </row>
    <row r="207" spans="1:9" x14ac:dyDescent="0.25">
      <c r="A207" s="27"/>
      <c r="B207" s="12" t="s">
        <v>134</v>
      </c>
      <c r="C207" s="12"/>
      <c r="D207" s="12"/>
      <c r="E207" s="12"/>
      <c r="F207" s="13">
        <v>2469766.2599999998</v>
      </c>
      <c r="G207" s="24"/>
      <c r="H207" s="13">
        <v>2733176.76</v>
      </c>
      <c r="I207" s="24"/>
    </row>
    <row r="208" spans="1:9" x14ac:dyDescent="0.25">
      <c r="A208" s="7" t="s">
        <v>135</v>
      </c>
      <c r="B208" s="7"/>
      <c r="C208" s="7"/>
      <c r="D208" s="7"/>
      <c r="E208" s="7"/>
      <c r="F208" s="25">
        <f>F209</f>
        <v>108889.58</v>
      </c>
      <c r="G208" s="9">
        <f>F208/F$160*100</f>
        <v>0.27983704806625886</v>
      </c>
      <c r="H208" s="25">
        <v>297272.57</v>
      </c>
      <c r="I208" s="9">
        <f>H208/H$160*100</f>
        <v>0.85025062658827932</v>
      </c>
    </row>
    <row r="209" spans="1:9" x14ac:dyDescent="0.25">
      <c r="A209" s="7"/>
      <c r="B209" s="12" t="s">
        <v>136</v>
      </c>
      <c r="C209" s="12"/>
      <c r="D209" s="12"/>
      <c r="E209" s="12"/>
      <c r="F209" s="13">
        <v>108889.58</v>
      </c>
      <c r="G209" s="24"/>
      <c r="H209" s="13">
        <v>297272.57</v>
      </c>
      <c r="I209" s="24"/>
    </row>
    <row r="210" spans="1:9" x14ac:dyDescent="0.25">
      <c r="A210" s="7" t="s">
        <v>137</v>
      </c>
      <c r="B210" s="7"/>
      <c r="C210" s="7"/>
      <c r="D210" s="7"/>
      <c r="E210" s="7"/>
      <c r="F210" s="25">
        <f>(F192-F206)+F195+F208-F204</f>
        <v>-658156.09000000672</v>
      </c>
      <c r="G210" s="9">
        <f>F210/F$160*100</f>
        <v>-1.6914057101922226</v>
      </c>
      <c r="H210" s="25">
        <v>1957311.6500000057</v>
      </c>
      <c r="I210" s="9">
        <f>H210/H$160*100</f>
        <v>5.5982476178042386</v>
      </c>
    </row>
    <row r="211" spans="1:9" x14ac:dyDescent="0.25">
      <c r="A211" s="27"/>
      <c r="B211" s="13"/>
      <c r="C211" s="12"/>
      <c r="D211" s="12"/>
      <c r="E211" s="2"/>
      <c r="F211" s="25"/>
      <c r="G211" s="18"/>
      <c r="H211" s="13"/>
      <c r="I211" s="18"/>
    </row>
    <row r="212" spans="1:9" x14ac:dyDescent="0.25">
      <c r="A212" s="12"/>
      <c r="B212" s="13"/>
      <c r="C212" s="12"/>
      <c r="D212" s="12"/>
      <c r="E212" s="2"/>
      <c r="F212" s="28"/>
      <c r="G212" s="18"/>
      <c r="H212" s="18"/>
      <c r="I212" s="18"/>
    </row>
    <row r="213" spans="1:9" x14ac:dyDescent="0.25">
      <c r="A213" s="52" t="s">
        <v>194</v>
      </c>
      <c r="B213" s="52"/>
      <c r="C213" s="52"/>
      <c r="D213" s="52"/>
      <c r="E213" s="52"/>
      <c r="F213" s="52"/>
      <c r="G213" s="52"/>
      <c r="H213" s="52"/>
      <c r="I213" s="52"/>
    </row>
    <row r="214" spans="1:9" x14ac:dyDescent="0.25">
      <c r="A214" s="12"/>
      <c r="B214" s="12"/>
      <c r="C214" s="12"/>
      <c r="D214" s="12"/>
      <c r="E214" s="12"/>
      <c r="F214" s="12"/>
      <c r="G214" s="12"/>
      <c r="H214" s="12"/>
      <c r="I214" s="12"/>
    </row>
    <row r="215" spans="1:9" x14ac:dyDescent="0.25">
      <c r="A215" s="12"/>
      <c r="B215" s="13"/>
      <c r="C215" s="12"/>
      <c r="D215" s="12"/>
      <c r="E215" s="2"/>
      <c r="F215" s="14"/>
      <c r="G215" s="12"/>
      <c r="H215" s="12"/>
      <c r="I215" s="12"/>
    </row>
    <row r="216" spans="1:9" x14ac:dyDescent="0.25">
      <c r="A216" s="12"/>
      <c r="B216" s="13"/>
      <c r="C216" s="2" t="s">
        <v>59</v>
      </c>
      <c r="D216" s="12"/>
      <c r="E216" s="2"/>
      <c r="F216" s="22"/>
      <c r="G216" s="52" t="s">
        <v>60</v>
      </c>
      <c r="H216" s="52"/>
      <c r="I216" s="6"/>
    </row>
    <row r="217" spans="1:9" x14ac:dyDescent="0.25">
      <c r="A217" s="12"/>
      <c r="B217" s="13"/>
      <c r="C217" s="2" t="s">
        <v>61</v>
      </c>
      <c r="D217" s="12"/>
      <c r="E217" s="2"/>
      <c r="F217" s="23"/>
      <c r="G217" s="52" t="s">
        <v>62</v>
      </c>
      <c r="H217" s="52"/>
      <c r="I217" s="6"/>
    </row>
    <row r="218" spans="1:9" x14ac:dyDescent="0.25">
      <c r="A218" s="12"/>
      <c r="B218" s="13"/>
      <c r="C218" s="24" t="s">
        <v>63</v>
      </c>
      <c r="D218" s="12"/>
      <c r="E218" s="2"/>
      <c r="F218" s="23"/>
      <c r="G218" s="52" t="s">
        <v>64</v>
      </c>
      <c r="H218" s="52"/>
      <c r="I218" s="6"/>
    </row>
  </sheetData>
  <mergeCells count="31">
    <mergeCell ref="B200:D200"/>
    <mergeCell ref="A213:I213"/>
    <mergeCell ref="G216:H216"/>
    <mergeCell ref="G217:H217"/>
    <mergeCell ref="G218:H218"/>
    <mergeCell ref="A65:I65"/>
    <mergeCell ref="G66:H66"/>
    <mergeCell ref="G67:H67"/>
    <mergeCell ref="G68:H68"/>
    <mergeCell ref="A1:I1"/>
    <mergeCell ref="A2:I2"/>
    <mergeCell ref="A4:I4"/>
    <mergeCell ref="A6:E6"/>
    <mergeCell ref="A73:I73"/>
    <mergeCell ref="A76:I76"/>
    <mergeCell ref="A74:I74"/>
    <mergeCell ref="A78:E78"/>
    <mergeCell ref="A103:I103"/>
    <mergeCell ref="G106:H106"/>
    <mergeCell ref="G107:H107"/>
    <mergeCell ref="G108:H108"/>
    <mergeCell ref="A124:I124"/>
    <mergeCell ref="B127:C127"/>
    <mergeCell ref="G127:H127"/>
    <mergeCell ref="B128:C128"/>
    <mergeCell ref="G128:H128"/>
    <mergeCell ref="B129:C129"/>
    <mergeCell ref="G129:H129"/>
    <mergeCell ref="A153:I153"/>
    <mergeCell ref="A154:I154"/>
    <mergeCell ref="A156:I156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DCE84-8F4E-4DDE-83C3-6187B9CCD2BB}">
  <dimension ref="A1:I51"/>
  <sheetViews>
    <sheetView topLeftCell="A37" workbookViewId="0">
      <selection sqref="A1:I51"/>
    </sheetView>
  </sheetViews>
  <sheetFormatPr defaultRowHeight="15" x14ac:dyDescent="0.25"/>
  <cols>
    <col min="6" max="7" width="15.7109375" bestFit="1" customWidth="1"/>
    <col min="8" max="8" width="22.5703125" bestFit="1" customWidth="1"/>
  </cols>
  <sheetData>
    <row r="1" spans="1:9" ht="18" x14ac:dyDescent="0.25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spans="1:9" x14ac:dyDescent="0.25">
      <c r="A2" s="54" t="s">
        <v>1</v>
      </c>
      <c r="B2" s="54"/>
      <c r="C2" s="54"/>
      <c r="D2" s="54"/>
      <c r="E2" s="54"/>
      <c r="F2" s="54"/>
      <c r="G2" s="54"/>
      <c r="H2" s="54"/>
      <c r="I2" s="54"/>
    </row>
    <row r="3" spans="1:9" x14ac:dyDescent="0.25">
      <c r="A3" s="1"/>
      <c r="B3" s="1"/>
      <c r="C3" s="1"/>
      <c r="D3" s="1"/>
      <c r="E3" s="1"/>
      <c r="F3" s="1"/>
      <c r="G3" s="1"/>
      <c r="H3" s="1"/>
      <c r="I3" s="1"/>
    </row>
    <row r="4" spans="1:9" ht="15.75" x14ac:dyDescent="0.25">
      <c r="A4" s="50" t="s">
        <v>138</v>
      </c>
      <c r="B4" s="50"/>
      <c r="C4" s="50"/>
      <c r="D4" s="50"/>
      <c r="E4" s="50"/>
      <c r="F4" s="50"/>
      <c r="G4" s="50"/>
      <c r="H4" s="50"/>
      <c r="I4" s="50"/>
    </row>
    <row r="5" spans="1:9" ht="15.75" x14ac:dyDescent="0.25">
      <c r="A5" s="50" t="s">
        <v>139</v>
      </c>
      <c r="B5" s="50"/>
      <c r="C5" s="50"/>
      <c r="D5" s="50"/>
      <c r="E5" s="50"/>
      <c r="F5" s="50"/>
      <c r="G5" s="50"/>
      <c r="H5" s="50"/>
      <c r="I5" s="50"/>
    </row>
    <row r="6" spans="1:9" x14ac:dyDescent="0.25">
      <c r="A6" s="7"/>
      <c r="B6" s="14"/>
      <c r="C6" s="14"/>
      <c r="D6" s="14"/>
      <c r="E6" s="14"/>
      <c r="F6" s="14"/>
      <c r="G6" s="14"/>
      <c r="H6" s="14"/>
      <c r="I6" s="12"/>
    </row>
    <row r="7" spans="1:9" x14ac:dyDescent="0.25">
      <c r="A7" s="7"/>
      <c r="B7" s="14"/>
      <c r="C7" s="14"/>
      <c r="D7" s="14"/>
      <c r="E7" s="14"/>
      <c r="F7" s="14"/>
      <c r="G7" s="14"/>
      <c r="H7" s="14"/>
      <c r="I7" s="12"/>
    </row>
    <row r="8" spans="1:9" x14ac:dyDescent="0.25">
      <c r="A8" s="7" t="s">
        <v>140</v>
      </c>
      <c r="B8" s="7"/>
      <c r="C8" s="7"/>
      <c r="D8" s="7"/>
      <c r="E8" s="7" t="s">
        <v>67</v>
      </c>
      <c r="F8" s="7"/>
      <c r="G8" s="4">
        <v>2018</v>
      </c>
      <c r="H8" s="4">
        <v>2017</v>
      </c>
      <c r="I8" s="7"/>
    </row>
    <row r="9" spans="1:9" x14ac:dyDescent="0.25">
      <c r="A9" s="7"/>
      <c r="B9" s="7" t="s">
        <v>141</v>
      </c>
      <c r="C9" s="7"/>
      <c r="D9" s="7"/>
      <c r="E9" s="7"/>
      <c r="F9" s="7"/>
      <c r="G9" s="25"/>
      <c r="H9" s="25"/>
      <c r="I9" s="7"/>
    </row>
    <row r="10" spans="1:9" x14ac:dyDescent="0.25">
      <c r="A10" s="27"/>
      <c r="B10" s="27"/>
      <c r="C10" s="27" t="s">
        <v>142</v>
      </c>
      <c r="D10" s="27"/>
      <c r="E10" s="27"/>
      <c r="F10" s="27"/>
      <c r="G10" s="32">
        <f>'[3]balanço e dre '!F210</f>
        <v>-658156.09000000672</v>
      </c>
      <c r="H10" s="32">
        <v>1957311.6500000057</v>
      </c>
      <c r="I10" s="27"/>
    </row>
    <row r="11" spans="1:9" x14ac:dyDescent="0.25">
      <c r="A11" s="27"/>
      <c r="B11" s="27"/>
      <c r="C11" s="27" t="s">
        <v>143</v>
      </c>
      <c r="D11" s="27"/>
      <c r="E11" s="27"/>
      <c r="F11" s="27"/>
      <c r="G11" s="26">
        <v>-41773.54</v>
      </c>
      <c r="H11" s="32">
        <v>58065.49</v>
      </c>
      <c r="I11" s="27"/>
    </row>
    <row r="12" spans="1:9" x14ac:dyDescent="0.25">
      <c r="A12" s="7"/>
      <c r="B12" s="7" t="s">
        <v>144</v>
      </c>
      <c r="C12" s="7"/>
      <c r="D12" s="7"/>
      <c r="E12" s="7"/>
      <c r="F12" s="7"/>
      <c r="G12" s="27"/>
      <c r="H12" s="27"/>
      <c r="I12" s="27"/>
    </row>
    <row r="13" spans="1:9" x14ac:dyDescent="0.25">
      <c r="A13" s="27"/>
      <c r="B13" s="27"/>
      <c r="C13" s="27" t="s">
        <v>145</v>
      </c>
      <c r="D13" s="27"/>
      <c r="E13" s="27"/>
      <c r="F13" s="27"/>
      <c r="G13" s="26">
        <f>-'[3]balanço e dre '!F61+'[3]balanço e dre '!H61</f>
        <v>819846.84999999963</v>
      </c>
      <c r="H13" s="26">
        <v>663341.21</v>
      </c>
      <c r="I13" s="27"/>
    </row>
    <row r="14" spans="1:9" x14ac:dyDescent="0.25">
      <c r="A14" s="7"/>
      <c r="B14" s="7" t="s">
        <v>146</v>
      </c>
      <c r="C14" s="7"/>
      <c r="D14" s="7"/>
      <c r="E14" s="7"/>
      <c r="F14" s="7"/>
      <c r="G14" s="25"/>
      <c r="H14" s="25"/>
      <c r="I14" s="7"/>
    </row>
    <row r="15" spans="1:9" x14ac:dyDescent="0.25">
      <c r="A15" s="27"/>
      <c r="B15" s="27"/>
      <c r="C15" s="27" t="s">
        <v>147</v>
      </c>
      <c r="D15" s="27"/>
      <c r="E15" s="27"/>
      <c r="F15" s="27"/>
      <c r="G15" s="26">
        <v>0</v>
      </c>
      <c r="H15" s="26">
        <v>1480748.09</v>
      </c>
      <c r="I15" s="27"/>
    </row>
    <row r="16" spans="1:9" x14ac:dyDescent="0.25">
      <c r="A16" s="27"/>
      <c r="B16" s="27"/>
      <c r="C16" s="27" t="s">
        <v>148</v>
      </c>
      <c r="D16" s="27"/>
      <c r="E16" s="27"/>
      <c r="F16" s="27"/>
      <c r="G16" s="26">
        <f>'[3]balanço e dre '!H34-'[3]balanço e dre '!F34</f>
        <v>25372.089999999967</v>
      </c>
      <c r="H16" s="26">
        <v>26373.35999999987</v>
      </c>
      <c r="I16" s="27"/>
    </row>
    <row r="17" spans="1:9" x14ac:dyDescent="0.25">
      <c r="A17" s="27"/>
      <c r="B17" s="27"/>
      <c r="C17" s="27" t="s">
        <v>149</v>
      </c>
      <c r="D17" s="27"/>
      <c r="E17" s="27"/>
      <c r="F17" s="27"/>
      <c r="G17" s="26">
        <v>0</v>
      </c>
      <c r="H17" s="26">
        <v>0</v>
      </c>
      <c r="I17" s="27"/>
    </row>
    <row r="18" spans="1:9" x14ac:dyDescent="0.25">
      <c r="A18" s="7"/>
      <c r="B18" s="7"/>
      <c r="C18" s="7"/>
      <c r="D18" s="7"/>
      <c r="E18" s="7"/>
      <c r="F18" s="7"/>
      <c r="G18" s="27"/>
      <c r="H18" s="27"/>
      <c r="I18" s="27"/>
    </row>
    <row r="19" spans="1:9" x14ac:dyDescent="0.25">
      <c r="A19" s="7" t="s">
        <v>150</v>
      </c>
      <c r="B19" s="7"/>
      <c r="C19" s="7"/>
      <c r="D19" s="7"/>
      <c r="E19" s="7"/>
      <c r="F19" s="7"/>
      <c r="G19" s="25">
        <f>SUM(G10:G18)</f>
        <v>145289.30999999284</v>
      </c>
      <c r="H19" s="25">
        <v>4185839.8000000059</v>
      </c>
      <c r="I19" s="7"/>
    </row>
    <row r="20" spans="1:9" x14ac:dyDescent="0.25">
      <c r="A20" s="7"/>
      <c r="B20" s="7"/>
      <c r="C20" s="7"/>
      <c r="D20" s="7"/>
      <c r="E20" s="7"/>
      <c r="F20" s="7"/>
      <c r="G20" s="27"/>
      <c r="H20" s="27"/>
      <c r="I20" s="27"/>
    </row>
    <row r="21" spans="1:9" x14ac:dyDescent="0.25">
      <c r="A21" s="7" t="s">
        <v>151</v>
      </c>
      <c r="B21" s="7"/>
      <c r="C21" s="7"/>
      <c r="D21" s="7"/>
      <c r="E21" s="7"/>
      <c r="F21" s="7"/>
      <c r="G21" s="7"/>
      <c r="H21" s="7"/>
      <c r="I21" s="7"/>
    </row>
    <row r="22" spans="1:9" x14ac:dyDescent="0.25">
      <c r="A22" s="7"/>
      <c r="B22" s="7"/>
      <c r="C22" s="27" t="s">
        <v>152</v>
      </c>
      <c r="D22" s="7"/>
      <c r="E22" s="7"/>
      <c r="F22" s="7"/>
      <c r="G22" s="26">
        <f>'[3]balanço e dre '!H91-'[3]balanço e dre '!F91</f>
        <v>852226.1400000006</v>
      </c>
      <c r="H22" s="26">
        <v>0</v>
      </c>
      <c r="I22" s="7"/>
    </row>
    <row r="23" spans="1:9" x14ac:dyDescent="0.25">
      <c r="A23" s="27"/>
      <c r="B23" s="27"/>
      <c r="C23" s="27" t="s">
        <v>36</v>
      </c>
      <c r="D23" s="27"/>
      <c r="E23" s="27"/>
      <c r="F23" s="27"/>
      <c r="G23" s="32">
        <f>'[3]balanço e dre '!F38-'[3]balanço e dre '!H38</f>
        <v>0</v>
      </c>
      <c r="H23" s="32">
        <v>77.110000000000582</v>
      </c>
      <c r="I23" s="27"/>
    </row>
    <row r="24" spans="1:9" x14ac:dyDescent="0.25">
      <c r="A24" s="27"/>
      <c r="B24" s="27"/>
      <c r="C24" s="27" t="s">
        <v>153</v>
      </c>
      <c r="D24" s="27"/>
      <c r="E24" s="27"/>
      <c r="F24" s="27"/>
      <c r="G24" s="32">
        <f>'[3]balanço e dre '!F41+'[3]balanço e dre '!F57-'[3]balanço e dre '!H41-'[3]balanço e dre '!H57</f>
        <v>1479857.1699999995</v>
      </c>
      <c r="H24" s="32">
        <v>2250560.85</v>
      </c>
      <c r="I24" s="27"/>
    </row>
    <row r="25" spans="1:9" x14ac:dyDescent="0.25">
      <c r="A25" s="27"/>
      <c r="B25" s="27"/>
      <c r="C25" s="27" t="s">
        <v>154</v>
      </c>
      <c r="D25" s="27"/>
      <c r="E25" s="27"/>
      <c r="F25" s="27"/>
      <c r="G25" s="32">
        <v>0</v>
      </c>
      <c r="H25" s="32">
        <v>0</v>
      </c>
      <c r="I25" s="27"/>
    </row>
    <row r="26" spans="1:9" x14ac:dyDescent="0.25">
      <c r="A26" s="27"/>
      <c r="B26" s="27"/>
      <c r="C26" s="27"/>
      <c r="D26" s="27"/>
      <c r="E26" s="27"/>
      <c r="F26" s="27"/>
      <c r="G26" s="32"/>
      <c r="H26" s="32"/>
      <c r="I26" s="27"/>
    </row>
    <row r="27" spans="1:9" x14ac:dyDescent="0.25">
      <c r="A27" s="7"/>
      <c r="B27" s="7"/>
      <c r="C27" s="7"/>
      <c r="D27" s="7"/>
      <c r="E27" s="7"/>
      <c r="F27" s="7"/>
      <c r="G27" s="27"/>
      <c r="H27" s="27"/>
      <c r="I27" s="27"/>
    </row>
    <row r="28" spans="1:9" x14ac:dyDescent="0.25">
      <c r="A28" s="7" t="s">
        <v>155</v>
      </c>
      <c r="B28" s="7"/>
      <c r="C28" s="7"/>
      <c r="D28" s="7"/>
      <c r="E28" s="7"/>
      <c r="F28" s="7"/>
      <c r="G28" s="25">
        <f>SUM(G22:G26)</f>
        <v>2332083.31</v>
      </c>
      <c r="H28" s="25">
        <v>2250637.96</v>
      </c>
      <c r="I28" s="7"/>
    </row>
    <row r="29" spans="1:9" x14ac:dyDescent="0.25">
      <c r="A29" s="7" t="s">
        <v>156</v>
      </c>
      <c r="B29" s="7"/>
      <c r="C29" s="7"/>
      <c r="D29" s="7"/>
      <c r="E29" s="7"/>
      <c r="F29" s="7"/>
      <c r="G29" s="25">
        <f>G19-G28</f>
        <v>-2186794.0000000075</v>
      </c>
      <c r="H29" s="25">
        <v>1935201.840000005</v>
      </c>
      <c r="I29" s="7"/>
    </row>
    <row r="30" spans="1:9" x14ac:dyDescent="0.25">
      <c r="A30" s="7"/>
      <c r="B30" s="7"/>
      <c r="C30" s="7"/>
      <c r="D30" s="7"/>
      <c r="E30" s="7"/>
      <c r="F30" s="7"/>
      <c r="G30" s="25"/>
      <c r="H30" s="25"/>
      <c r="I30" s="27"/>
    </row>
    <row r="31" spans="1:9" x14ac:dyDescent="0.25">
      <c r="A31" s="27"/>
      <c r="B31" s="27"/>
      <c r="C31" s="27"/>
      <c r="D31" s="27"/>
      <c r="E31" s="27"/>
      <c r="F31" s="27"/>
      <c r="G31" s="26"/>
      <c r="H31" s="26"/>
      <c r="I31" s="32"/>
    </row>
    <row r="32" spans="1:9" x14ac:dyDescent="0.25">
      <c r="A32" s="55" t="s">
        <v>157</v>
      </c>
      <c r="B32" s="55"/>
      <c r="C32" s="55"/>
      <c r="D32" s="55"/>
      <c r="E32" s="55"/>
      <c r="F32" s="55"/>
      <c r="G32" s="55"/>
      <c r="H32" s="55"/>
      <c r="I32" s="55"/>
    </row>
    <row r="33" spans="1:9" x14ac:dyDescent="0.25">
      <c r="A33" s="7"/>
      <c r="B33" s="7"/>
      <c r="C33" s="7"/>
      <c r="D33" s="7"/>
      <c r="E33" s="7"/>
      <c r="F33" s="7"/>
      <c r="G33" s="25"/>
      <c r="H33" s="25"/>
      <c r="I33" s="7"/>
    </row>
    <row r="34" spans="1:9" x14ac:dyDescent="0.25">
      <c r="A34" s="27"/>
      <c r="B34" s="27"/>
      <c r="C34" s="27"/>
      <c r="D34" s="27"/>
      <c r="E34" s="4"/>
      <c r="F34" s="4">
        <v>2018</v>
      </c>
      <c r="G34" s="4">
        <v>2017</v>
      </c>
      <c r="H34" s="31" t="s">
        <v>158</v>
      </c>
      <c r="I34" s="32"/>
    </row>
    <row r="35" spans="1:9" x14ac:dyDescent="0.25">
      <c r="A35" s="27"/>
      <c r="B35" s="27"/>
      <c r="C35" s="27" t="s">
        <v>159</v>
      </c>
      <c r="D35" s="27"/>
      <c r="E35" s="26"/>
      <c r="F35" s="26">
        <f>'[3]balanço e dre '!F7</f>
        <v>10015502.620000001</v>
      </c>
      <c r="G35" s="26">
        <v>10984645.049999999</v>
      </c>
      <c r="H35" s="26">
        <f>F35-G35</f>
        <v>-969142.42999999784</v>
      </c>
      <c r="I35" s="32"/>
    </row>
    <row r="36" spans="1:9" x14ac:dyDescent="0.25">
      <c r="A36" s="27"/>
      <c r="B36" s="27"/>
      <c r="C36" s="27" t="s">
        <v>160</v>
      </c>
      <c r="D36" s="27"/>
      <c r="E36" s="26"/>
      <c r="F36" s="26">
        <f>'[3]balanço e dre '!F79</f>
        <v>14371773.57</v>
      </c>
      <c r="G36" s="26">
        <v>13154122</v>
      </c>
      <c r="H36" s="26">
        <f>F36-G36</f>
        <v>1217651.5700000003</v>
      </c>
      <c r="I36" s="27"/>
    </row>
    <row r="37" spans="1:9" x14ac:dyDescent="0.25">
      <c r="A37" s="7"/>
      <c r="B37" s="7"/>
      <c r="C37" s="7" t="s">
        <v>161</v>
      </c>
      <c r="D37" s="7"/>
      <c r="E37" s="25"/>
      <c r="F37" s="25">
        <f>F35-F36</f>
        <v>-4356270.9499999993</v>
      </c>
      <c r="G37" s="25">
        <v>-2169476.9500000002</v>
      </c>
      <c r="H37" s="25">
        <f>F37-G37</f>
        <v>-2186793.9999999991</v>
      </c>
      <c r="I37" s="20"/>
    </row>
    <row r="38" spans="1:9" x14ac:dyDescent="0.25">
      <c r="A38" s="7"/>
      <c r="B38" s="7"/>
      <c r="C38" s="7"/>
      <c r="D38" s="7"/>
      <c r="E38" s="25"/>
      <c r="F38" s="25"/>
      <c r="G38" s="25"/>
      <c r="H38" s="25"/>
      <c r="I38" s="7"/>
    </row>
    <row r="39" spans="1:9" x14ac:dyDescent="0.25">
      <c r="A39" s="27"/>
      <c r="B39" s="27"/>
      <c r="C39" s="27"/>
      <c r="D39" s="27"/>
      <c r="E39" s="4"/>
      <c r="F39" s="4">
        <v>2017</v>
      </c>
      <c r="G39" s="4">
        <v>2016</v>
      </c>
      <c r="H39" s="31" t="s">
        <v>158</v>
      </c>
      <c r="I39" s="27"/>
    </row>
    <row r="40" spans="1:9" x14ac:dyDescent="0.25">
      <c r="A40" s="27"/>
      <c r="B40" s="27"/>
      <c r="C40" s="27" t="s">
        <v>159</v>
      </c>
      <c r="D40" s="27"/>
      <c r="E40" s="26"/>
      <c r="F40" s="26">
        <v>10984645.049999999</v>
      </c>
      <c r="G40" s="26">
        <v>11150855.709999999</v>
      </c>
      <c r="H40" s="26">
        <f>F40-G40</f>
        <v>-166210.66000000015</v>
      </c>
      <c r="I40" s="27"/>
    </row>
    <row r="41" spans="1:9" x14ac:dyDescent="0.25">
      <c r="A41" s="27"/>
      <c r="B41" s="27"/>
      <c r="C41" s="27" t="s">
        <v>160</v>
      </c>
      <c r="D41" s="27"/>
      <c r="E41" s="26"/>
      <c r="F41" s="26">
        <v>13154122</v>
      </c>
      <c r="G41" s="26">
        <v>15255534.499999993</v>
      </c>
      <c r="H41" s="26">
        <f>F41-G41</f>
        <v>-2101412.4999999925</v>
      </c>
      <c r="I41" s="27"/>
    </row>
    <row r="42" spans="1:9" x14ac:dyDescent="0.25">
      <c r="A42" s="7"/>
      <c r="B42" s="7"/>
      <c r="C42" s="7" t="s">
        <v>161</v>
      </c>
      <c r="D42" s="7"/>
      <c r="E42" s="25"/>
      <c r="F42" s="25">
        <v>-2169476.9500000002</v>
      </c>
      <c r="G42" s="25">
        <v>-4104678.7899999935</v>
      </c>
      <c r="H42" s="25">
        <f>H40-H41</f>
        <v>1935201.8399999924</v>
      </c>
      <c r="I42" s="7"/>
    </row>
    <row r="43" spans="1:9" x14ac:dyDescent="0.25">
      <c r="A43" s="27"/>
      <c r="B43" s="12"/>
      <c r="C43" s="12"/>
      <c r="D43" s="12"/>
      <c r="E43" s="12"/>
      <c r="F43" s="12"/>
      <c r="G43" s="13"/>
      <c r="H43" s="13"/>
      <c r="I43" s="12"/>
    </row>
    <row r="44" spans="1:9" x14ac:dyDescent="0.25">
      <c r="A44" s="27"/>
      <c r="B44" s="12"/>
      <c r="C44" s="12"/>
      <c r="D44" s="12"/>
      <c r="E44" s="12"/>
      <c r="F44" s="12"/>
      <c r="G44" s="13"/>
      <c r="H44" s="13"/>
      <c r="I44" s="12"/>
    </row>
    <row r="45" spans="1:9" x14ac:dyDescent="0.25">
      <c r="A45" s="27"/>
      <c r="B45" s="12"/>
      <c r="C45" s="12"/>
      <c r="D45" s="12"/>
      <c r="E45" s="12"/>
      <c r="F45" s="12"/>
      <c r="G45" s="13"/>
      <c r="H45" s="13"/>
      <c r="I45" s="12"/>
    </row>
    <row r="46" spans="1:9" x14ac:dyDescent="0.25">
      <c r="A46" s="52" t="s">
        <v>194</v>
      </c>
      <c r="B46" s="52"/>
      <c r="C46" s="52"/>
      <c r="D46" s="52"/>
      <c r="E46" s="52"/>
      <c r="F46" s="52"/>
      <c r="G46" s="52"/>
      <c r="H46" s="52"/>
      <c r="I46" s="52"/>
    </row>
    <row r="47" spans="1:9" x14ac:dyDescent="0.25">
      <c r="A47" s="27"/>
      <c r="B47" s="12"/>
      <c r="C47" s="12"/>
      <c r="D47" s="12"/>
      <c r="E47" s="12"/>
      <c r="F47" s="12"/>
      <c r="G47" s="12"/>
      <c r="H47" s="12"/>
      <c r="I47" s="12"/>
    </row>
    <row r="48" spans="1:9" x14ac:dyDescent="0.25">
      <c r="A48" s="27"/>
      <c r="B48" s="12"/>
      <c r="C48" s="12"/>
      <c r="D48" s="12"/>
      <c r="E48" s="12"/>
      <c r="F48" s="12"/>
      <c r="G48" s="12"/>
      <c r="H48" s="12"/>
      <c r="I48" s="12"/>
    </row>
    <row r="49" spans="1:9" x14ac:dyDescent="0.25">
      <c r="A49" s="27"/>
      <c r="B49" s="2"/>
      <c r="C49" s="2" t="s">
        <v>59</v>
      </c>
      <c r="D49" s="12"/>
      <c r="E49" s="12"/>
      <c r="F49" s="12"/>
      <c r="G49" s="12"/>
      <c r="H49" s="2" t="s">
        <v>60</v>
      </c>
      <c r="I49" s="12"/>
    </row>
    <row r="50" spans="1:9" x14ac:dyDescent="0.25">
      <c r="A50" s="27"/>
      <c r="B50" s="2"/>
      <c r="C50" s="2" t="s">
        <v>61</v>
      </c>
      <c r="D50" s="12"/>
      <c r="E50" s="12"/>
      <c r="F50" s="12"/>
      <c r="G50" s="12"/>
      <c r="H50" s="2" t="s">
        <v>62</v>
      </c>
      <c r="I50" s="12"/>
    </row>
    <row r="51" spans="1:9" x14ac:dyDescent="0.25">
      <c r="A51" s="27"/>
      <c r="B51" s="24"/>
      <c r="C51" s="24" t="s">
        <v>63</v>
      </c>
      <c r="D51" s="12"/>
      <c r="E51" s="12"/>
      <c r="F51" s="12"/>
      <c r="G51" s="12"/>
      <c r="H51" s="2" t="s">
        <v>64</v>
      </c>
      <c r="I51" s="12"/>
    </row>
  </sheetData>
  <mergeCells count="6">
    <mergeCell ref="A46:I46"/>
    <mergeCell ref="A1:I1"/>
    <mergeCell ref="A2:I2"/>
    <mergeCell ref="A4:I4"/>
    <mergeCell ref="A5:I5"/>
    <mergeCell ref="A32:I32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FE4B7-B8C5-46FF-A087-9F05AC399C09}">
  <dimension ref="A1"/>
  <sheetViews>
    <sheetView workbookViewId="0">
      <selection sqref="A1:XFD61"/>
    </sheetView>
  </sheetViews>
  <sheetFormatPr defaultRowHeight="15" x14ac:dyDescent="0.25"/>
  <cols>
    <col min="1" max="1" width="38.5703125" bestFit="1" customWidth="1"/>
    <col min="2" max="2" width="12.42578125" bestFit="1" customWidth="1"/>
    <col min="3" max="3" width="29" bestFit="1" customWidth="1"/>
    <col min="4" max="4" width="10" bestFit="1" customWidth="1"/>
    <col min="5" max="5" width="12" bestFit="1" customWidth="1"/>
    <col min="6" max="8" width="12.42578125" bestFit="1" customWidth="1"/>
    <col min="9" max="9" width="22.5703125" bestFit="1" customWidth="1"/>
    <col min="10" max="10" width="12.42578125" bestFit="1" customWidth="1"/>
    <col min="11" max="11" width="13.140625" bestFit="1" customWidth="1"/>
    <col min="12" max="12" width="12.42578125" bestFit="1" customWidth="1"/>
    <col min="13" max="13" width="13.140625" bestFit="1" customWidth="1"/>
  </cols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0993C-0880-4814-9C34-92D9F0A154C1}">
  <dimension ref="A1:G39"/>
  <sheetViews>
    <sheetView workbookViewId="0">
      <selection activeCell="I18" sqref="I18"/>
    </sheetView>
  </sheetViews>
  <sheetFormatPr defaultRowHeight="15" x14ac:dyDescent="0.25"/>
  <cols>
    <col min="2" max="2" width="44.140625" bestFit="1" customWidth="1"/>
    <col min="4" max="4" width="15.7109375" bestFit="1" customWidth="1"/>
    <col min="6" max="6" width="15.7109375" bestFit="1" customWidth="1"/>
    <col min="7" max="7" width="8.7109375" bestFit="1" customWidth="1"/>
  </cols>
  <sheetData>
    <row r="1" spans="1:7" ht="18" x14ac:dyDescent="0.25">
      <c r="A1" s="53" t="s">
        <v>0</v>
      </c>
      <c r="B1" s="53"/>
      <c r="C1" s="53"/>
      <c r="D1" s="53"/>
      <c r="E1" s="53"/>
      <c r="F1" s="53"/>
      <c r="G1" s="53"/>
    </row>
    <row r="2" spans="1:7" x14ac:dyDescent="0.25">
      <c r="A2" s="54" t="s">
        <v>1</v>
      </c>
      <c r="B2" s="54"/>
      <c r="C2" s="54"/>
      <c r="D2" s="54"/>
      <c r="E2" s="54"/>
      <c r="F2" s="54"/>
      <c r="G2" s="54"/>
    </row>
    <row r="3" spans="1:7" x14ac:dyDescent="0.25">
      <c r="A3" s="27"/>
      <c r="B3" s="12"/>
      <c r="C3" s="12"/>
      <c r="D3" s="13"/>
      <c r="E3" s="13"/>
      <c r="F3" s="13"/>
      <c r="G3" s="13"/>
    </row>
    <row r="4" spans="1:7" ht="15.75" x14ac:dyDescent="0.25">
      <c r="A4" s="50" t="s">
        <v>162</v>
      </c>
      <c r="B4" s="50"/>
      <c r="C4" s="50"/>
      <c r="D4" s="50"/>
      <c r="E4" s="50"/>
      <c r="F4" s="50"/>
      <c r="G4" s="50"/>
    </row>
    <row r="5" spans="1:7" ht="15.75" x14ac:dyDescent="0.25">
      <c r="A5" s="50" t="s">
        <v>139</v>
      </c>
      <c r="B5" s="50"/>
      <c r="C5" s="50"/>
      <c r="D5" s="50"/>
      <c r="E5" s="50"/>
      <c r="F5" s="50"/>
      <c r="G5" s="50"/>
    </row>
    <row r="6" spans="1:7" x14ac:dyDescent="0.25">
      <c r="A6" s="27"/>
      <c r="B6" s="12"/>
      <c r="C6" s="12"/>
      <c r="D6" s="13"/>
      <c r="E6" s="13"/>
      <c r="F6" s="13"/>
      <c r="G6" s="13"/>
    </row>
    <row r="7" spans="1:7" x14ac:dyDescent="0.25">
      <c r="A7" s="7" t="s">
        <v>163</v>
      </c>
      <c r="B7" s="7"/>
      <c r="C7" s="7"/>
      <c r="D7" s="5">
        <v>43465</v>
      </c>
      <c r="E7" s="33" t="s">
        <v>4</v>
      </c>
      <c r="F7" s="5">
        <v>43100</v>
      </c>
      <c r="G7" s="33" t="s">
        <v>4</v>
      </c>
    </row>
    <row r="8" spans="1:7" x14ac:dyDescent="0.25">
      <c r="A8" s="27"/>
      <c r="B8" s="27" t="s">
        <v>164</v>
      </c>
      <c r="C8" s="27"/>
      <c r="D8" s="26">
        <f>'[3]balanço e dre '!F174</f>
        <v>38756877.619999997</v>
      </c>
      <c r="E8" s="34">
        <f>D8/D12*100</f>
        <v>90.259698398770155</v>
      </c>
      <c r="F8" s="26">
        <v>34801412.590000004</v>
      </c>
      <c r="G8" s="34">
        <v>85.660633703647392</v>
      </c>
    </row>
    <row r="9" spans="1:7" x14ac:dyDescent="0.25">
      <c r="A9" s="27"/>
      <c r="B9" s="27" t="s">
        <v>165</v>
      </c>
      <c r="C9" s="27"/>
      <c r="D9" s="26">
        <f>'[3]balanço e dre '!F209</f>
        <v>108889.58</v>
      </c>
      <c r="E9" s="34">
        <f>D9/D12*100</f>
        <v>0.25358958856110125</v>
      </c>
      <c r="F9" s="26">
        <v>297272.57</v>
      </c>
      <c r="G9" s="34">
        <v>0.73171043454221685</v>
      </c>
    </row>
    <row r="10" spans="1:7" x14ac:dyDescent="0.25">
      <c r="A10" s="27"/>
      <c r="B10" s="27" t="s">
        <v>166</v>
      </c>
      <c r="C10" s="27"/>
      <c r="D10" s="26">
        <f>'[3]balanço e dre '!F195</f>
        <v>4073527.2</v>
      </c>
      <c r="E10" s="34">
        <f>D10/D12*100</f>
        <v>9.4867120126687503</v>
      </c>
      <c r="F10" s="26">
        <v>5528392.9800000004</v>
      </c>
      <c r="G10" s="34">
        <v>13.607655861810397</v>
      </c>
    </row>
    <row r="11" spans="1:7" x14ac:dyDescent="0.25">
      <c r="A11" s="27"/>
      <c r="B11" s="27"/>
      <c r="C11" s="27"/>
      <c r="D11" s="26"/>
      <c r="E11" s="34"/>
      <c r="F11" s="26"/>
      <c r="G11" s="34"/>
    </row>
    <row r="12" spans="1:7" x14ac:dyDescent="0.25">
      <c r="A12" s="7" t="s">
        <v>167</v>
      </c>
      <c r="B12" s="7"/>
      <c r="C12" s="7"/>
      <c r="D12" s="25">
        <f>SUM(D8:D11)</f>
        <v>42939294.399999999</v>
      </c>
      <c r="E12" s="31">
        <f>D12/D12*100</f>
        <v>100</v>
      </c>
      <c r="F12" s="25">
        <v>40627078.140000001</v>
      </c>
      <c r="G12" s="31">
        <v>100</v>
      </c>
    </row>
    <row r="13" spans="1:7" x14ac:dyDescent="0.25">
      <c r="A13" s="27"/>
      <c r="B13" s="27"/>
      <c r="C13" s="27"/>
      <c r="D13" s="26"/>
      <c r="E13" s="34"/>
      <c r="F13" s="26"/>
      <c r="G13" s="34"/>
    </row>
    <row r="14" spans="1:7" x14ac:dyDescent="0.25">
      <c r="A14" s="7" t="s">
        <v>168</v>
      </c>
      <c r="B14" s="7"/>
      <c r="C14" s="7"/>
      <c r="D14" s="25"/>
      <c r="E14" s="31"/>
      <c r="F14" s="25"/>
      <c r="G14" s="31"/>
    </row>
    <row r="15" spans="1:7" x14ac:dyDescent="0.25">
      <c r="A15" s="27"/>
      <c r="B15" s="27" t="s">
        <v>169</v>
      </c>
      <c r="C15" s="27"/>
      <c r="D15" s="26">
        <f>'[3]balanço e dre '!F182+'[3]balanço e dre '!F183</f>
        <v>8760076.0999999996</v>
      </c>
      <c r="E15" s="34">
        <f>D15/D20*100</f>
        <v>34.548311527604632</v>
      </c>
      <c r="F15" s="26">
        <v>6774194.1200000001</v>
      </c>
      <c r="G15" s="34">
        <v>32.275863180777229</v>
      </c>
    </row>
    <row r="16" spans="1:7" x14ac:dyDescent="0.25">
      <c r="A16" s="27"/>
      <c r="B16" s="27" t="s">
        <v>170</v>
      </c>
      <c r="C16" s="27"/>
      <c r="D16" s="26">
        <f>'[3]balanço e dre '!F179</f>
        <v>13719986.07</v>
      </c>
      <c r="E16" s="34">
        <f>D16/D$20*100</f>
        <v>54.1093875772102</v>
      </c>
      <c r="F16" s="26">
        <v>11922139.210000001</v>
      </c>
      <c r="G16" s="34">
        <v>56.803411173008946</v>
      </c>
    </row>
    <row r="17" spans="1:7" x14ac:dyDescent="0.25">
      <c r="A17" s="27"/>
      <c r="B17" s="27" t="s">
        <v>171</v>
      </c>
      <c r="C17" s="27"/>
      <c r="D17" s="26">
        <f>'[3]balanço e dre '!F184+'[3]balanço e dre '!F185-D26</f>
        <v>2738500.93</v>
      </c>
      <c r="E17" s="34">
        <f>D17/D$20*100</f>
        <v>10.800201067691068</v>
      </c>
      <c r="F17" s="26">
        <v>2193514.3199999998</v>
      </c>
      <c r="G17" s="34">
        <v>10.451068691458696</v>
      </c>
    </row>
    <row r="18" spans="1:7" x14ac:dyDescent="0.25">
      <c r="A18" s="27"/>
      <c r="B18" s="27" t="s">
        <v>172</v>
      </c>
      <c r="C18" s="27"/>
      <c r="D18" s="26">
        <f>'[3]balanço e dre '!F204</f>
        <v>137454.93</v>
      </c>
      <c r="E18" s="34">
        <f>D18/D$20*100</f>
        <v>0.54209982749408847</v>
      </c>
      <c r="F18" s="26">
        <v>98573.58</v>
      </c>
      <c r="G18" s="34">
        <v>0.46965695475514335</v>
      </c>
    </row>
    <row r="19" spans="1:7" x14ac:dyDescent="0.25">
      <c r="A19" s="27"/>
      <c r="B19" s="27"/>
      <c r="C19" s="27"/>
      <c r="D19" s="26"/>
      <c r="E19" s="34"/>
      <c r="F19" s="26"/>
      <c r="G19" s="34"/>
    </row>
    <row r="20" spans="1:7" x14ac:dyDescent="0.25">
      <c r="A20" s="7" t="s">
        <v>173</v>
      </c>
      <c r="B20" s="7"/>
      <c r="C20" s="7"/>
      <c r="D20" s="25">
        <f>SUM(D15:D18)</f>
        <v>25356018.030000001</v>
      </c>
      <c r="E20" s="31">
        <f>D20/D20*100</f>
        <v>100</v>
      </c>
      <c r="F20" s="25">
        <v>20988421.23</v>
      </c>
      <c r="G20" s="31">
        <v>100</v>
      </c>
    </row>
    <row r="21" spans="1:7" x14ac:dyDescent="0.25">
      <c r="A21" s="27"/>
      <c r="B21" s="27"/>
      <c r="C21" s="27"/>
      <c r="D21" s="26"/>
      <c r="E21" s="34"/>
      <c r="F21" s="26"/>
      <c r="G21" s="34"/>
    </row>
    <row r="22" spans="1:7" x14ac:dyDescent="0.25">
      <c r="A22" s="7" t="s">
        <v>174</v>
      </c>
      <c r="B22" s="7"/>
      <c r="C22" s="7"/>
      <c r="D22" s="25">
        <f>D12-D20</f>
        <v>17583276.369999997</v>
      </c>
      <c r="E22" s="31"/>
      <c r="F22" s="25">
        <v>19638656.91</v>
      </c>
      <c r="G22" s="31"/>
    </row>
    <row r="23" spans="1:7" x14ac:dyDescent="0.25">
      <c r="A23" s="27"/>
      <c r="B23" s="27"/>
      <c r="C23" s="27"/>
      <c r="D23" s="26"/>
      <c r="E23" s="34"/>
      <c r="F23" s="26"/>
      <c r="G23" s="34"/>
    </row>
    <row r="24" spans="1:7" x14ac:dyDescent="0.25">
      <c r="A24" s="7" t="s">
        <v>175</v>
      </c>
      <c r="B24" s="7"/>
      <c r="C24" s="7"/>
      <c r="D24" s="7"/>
      <c r="E24" s="7"/>
      <c r="F24" s="7"/>
      <c r="G24" s="7"/>
    </row>
    <row r="25" spans="1:7" x14ac:dyDescent="0.25">
      <c r="A25" s="27"/>
      <c r="B25" s="27" t="s">
        <v>176</v>
      </c>
      <c r="C25" s="27"/>
      <c r="D25" s="26">
        <f>'[3]balanço e dre '!F176</f>
        <v>15750391</v>
      </c>
      <c r="E25" s="34">
        <f>D25/D12*100</f>
        <v>36.680600415269048</v>
      </c>
      <c r="F25" s="26">
        <v>14938482.380000001</v>
      </c>
      <c r="G25" s="34">
        <v>36.769768006752358</v>
      </c>
    </row>
    <row r="26" spans="1:7" x14ac:dyDescent="0.25">
      <c r="A26" s="27"/>
      <c r="B26" s="27" t="s">
        <v>177</v>
      </c>
      <c r="C26" s="27"/>
      <c r="D26" s="26">
        <f>'[3]balanço e dre '!F191</f>
        <v>21275.200000000001</v>
      </c>
      <c r="E26" s="34">
        <f>D26/D12*100</f>
        <v>4.9547157905789903E-2</v>
      </c>
      <c r="F26" s="26">
        <v>9686.1200000000008</v>
      </c>
      <c r="G26" s="34">
        <v>2.3841537327941351E-2</v>
      </c>
    </row>
    <row r="27" spans="1:7" x14ac:dyDescent="0.25">
      <c r="A27" s="27"/>
      <c r="B27" s="27" t="s">
        <v>178</v>
      </c>
      <c r="C27" s="27"/>
      <c r="D27" s="26">
        <f>'[3]balanço e dre '!F207</f>
        <v>2469766.2599999998</v>
      </c>
      <c r="E27" s="34">
        <f>D27/D12*100</f>
        <v>5.7517625627308862</v>
      </c>
      <c r="F27" s="26">
        <v>2733176.76</v>
      </c>
      <c r="G27" s="34">
        <v>6.7274755781883551</v>
      </c>
    </row>
    <row r="28" spans="1:7" x14ac:dyDescent="0.25">
      <c r="A28" s="27"/>
      <c r="B28" s="27" t="s">
        <v>179</v>
      </c>
      <c r="C28" s="27"/>
      <c r="D28" s="26">
        <f>'[3]balanço e dre '!F210</f>
        <v>-658156.09000000672</v>
      </c>
      <c r="E28" s="34">
        <f>D28/D12*100</f>
        <v>-1.5327594437602281</v>
      </c>
      <c r="F28" s="26">
        <v>1957311.6500000057</v>
      </c>
      <c r="G28" s="34">
        <v>4.8177514593964981</v>
      </c>
    </row>
    <row r="29" spans="1:7" x14ac:dyDescent="0.25">
      <c r="A29" s="27"/>
      <c r="B29" s="27"/>
      <c r="C29" s="27"/>
      <c r="D29" s="26"/>
      <c r="E29" s="26"/>
      <c r="F29" s="26"/>
      <c r="G29" s="26"/>
    </row>
    <row r="30" spans="1:7" x14ac:dyDescent="0.25">
      <c r="A30" s="7" t="s">
        <v>180</v>
      </c>
      <c r="B30" s="27"/>
      <c r="C30" s="27"/>
      <c r="D30" s="25">
        <f>SUM(D25:D28)</f>
        <v>17583276.369999994</v>
      </c>
      <c r="E30" s="31">
        <f>D30/D12*100</f>
        <v>40.949150692145501</v>
      </c>
      <c r="F30" s="25">
        <v>19638656.910000004</v>
      </c>
      <c r="G30" s="31">
        <v>48.338836581665149</v>
      </c>
    </row>
    <row r="31" spans="1:7" x14ac:dyDescent="0.25">
      <c r="A31" s="27"/>
      <c r="B31" s="27"/>
      <c r="C31" s="27"/>
      <c r="D31" s="26"/>
      <c r="E31" s="26"/>
      <c r="F31" s="26"/>
      <c r="G31" s="26"/>
    </row>
    <row r="32" spans="1:7" x14ac:dyDescent="0.25">
      <c r="A32" s="27"/>
      <c r="B32" s="27"/>
      <c r="C32" s="27"/>
      <c r="D32" s="26"/>
      <c r="E32" s="26"/>
      <c r="F32" s="26"/>
      <c r="G32" s="26"/>
    </row>
    <row r="33" spans="1:7" x14ac:dyDescent="0.25">
      <c r="A33" s="27"/>
      <c r="B33" s="27"/>
      <c r="C33" s="27"/>
      <c r="D33" s="26"/>
      <c r="E33" s="26"/>
      <c r="F33" s="26"/>
      <c r="G33" s="26"/>
    </row>
    <row r="34" spans="1:7" x14ac:dyDescent="0.25">
      <c r="A34" s="54" t="s">
        <v>194</v>
      </c>
      <c r="B34" s="54"/>
      <c r="C34" s="54"/>
      <c r="D34" s="54"/>
      <c r="E34" s="54"/>
      <c r="F34" s="54"/>
      <c r="G34" s="54"/>
    </row>
    <row r="35" spans="1:7" x14ac:dyDescent="0.25">
      <c r="A35" s="27"/>
      <c r="B35" s="27"/>
      <c r="C35" s="27"/>
      <c r="D35" s="27"/>
      <c r="E35" s="27"/>
      <c r="F35" s="27"/>
      <c r="G35" s="27"/>
    </row>
    <row r="36" spans="1:7" x14ac:dyDescent="0.25">
      <c r="A36" s="27"/>
      <c r="B36" s="27"/>
      <c r="C36" s="27"/>
      <c r="D36" s="27"/>
      <c r="E36" s="27"/>
      <c r="F36" s="27"/>
      <c r="G36" s="27"/>
    </row>
    <row r="37" spans="1:7" x14ac:dyDescent="0.25">
      <c r="A37" s="27"/>
      <c r="B37" s="2" t="s">
        <v>59</v>
      </c>
      <c r="C37" s="2"/>
      <c r="D37" s="12"/>
      <c r="E37" s="52" t="s">
        <v>60</v>
      </c>
      <c r="F37" s="52"/>
      <c r="G37" s="27"/>
    </row>
    <row r="38" spans="1:7" x14ac:dyDescent="0.25">
      <c r="A38" s="27"/>
      <c r="B38" s="2" t="s">
        <v>61</v>
      </c>
      <c r="C38" s="2"/>
      <c r="D38" s="12"/>
      <c r="E38" s="52" t="s">
        <v>62</v>
      </c>
      <c r="F38" s="52"/>
      <c r="G38" s="27"/>
    </row>
    <row r="39" spans="1:7" x14ac:dyDescent="0.25">
      <c r="A39" s="27"/>
      <c r="B39" s="24" t="s">
        <v>63</v>
      </c>
      <c r="C39" s="24"/>
      <c r="D39" s="12"/>
      <c r="E39" s="52" t="s">
        <v>64</v>
      </c>
      <c r="F39" s="52"/>
      <c r="G39" s="27"/>
    </row>
  </sheetData>
  <mergeCells count="8">
    <mergeCell ref="E38:F38"/>
    <mergeCell ref="E39:F39"/>
    <mergeCell ref="A1:G1"/>
    <mergeCell ref="A2:G2"/>
    <mergeCell ref="A4:G4"/>
    <mergeCell ref="A5:G5"/>
    <mergeCell ref="A34:G34"/>
    <mergeCell ref="E37:F37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BC3D-403D-4803-B559-090483F31CCE}">
  <dimension ref="A1:E24"/>
  <sheetViews>
    <sheetView tabSelected="1" workbookViewId="0">
      <selection sqref="A1:E24"/>
    </sheetView>
  </sheetViews>
  <sheetFormatPr defaultRowHeight="15" x14ac:dyDescent="0.25"/>
  <cols>
    <col min="1" max="1" width="32.140625" bestFit="1" customWidth="1"/>
    <col min="2" max="2" width="14.85546875" bestFit="1" customWidth="1"/>
    <col min="3" max="3" width="16.7109375" bestFit="1" customWidth="1"/>
    <col min="4" max="4" width="22.42578125" bestFit="1" customWidth="1"/>
    <col min="5" max="5" width="14.5703125" bestFit="1" customWidth="1"/>
  </cols>
  <sheetData>
    <row r="1" spans="1:5" ht="18" x14ac:dyDescent="0.25">
      <c r="A1" s="53" t="s">
        <v>0</v>
      </c>
      <c r="B1" s="53"/>
      <c r="C1" s="53"/>
      <c r="D1" s="53"/>
      <c r="E1" s="53"/>
    </row>
    <row r="2" spans="1:5" x14ac:dyDescent="0.25">
      <c r="A2" s="54" t="s">
        <v>1</v>
      </c>
      <c r="B2" s="54"/>
      <c r="C2" s="54"/>
      <c r="D2" s="54"/>
      <c r="E2" s="54"/>
    </row>
    <row r="3" spans="1:5" x14ac:dyDescent="0.25">
      <c r="A3" s="12"/>
      <c r="B3" s="12"/>
      <c r="C3" s="12"/>
      <c r="D3" s="12"/>
      <c r="E3" s="12"/>
    </row>
    <row r="4" spans="1:5" ht="15.75" x14ac:dyDescent="0.25">
      <c r="A4" s="50" t="s">
        <v>181</v>
      </c>
      <c r="B4" s="50"/>
      <c r="C4" s="50"/>
      <c r="D4" s="50"/>
      <c r="E4" s="50"/>
    </row>
    <row r="5" spans="1:5" x14ac:dyDescent="0.25">
      <c r="A5" s="12"/>
      <c r="B5" s="12"/>
      <c r="C5" s="12"/>
      <c r="D5" s="12"/>
      <c r="E5" s="12"/>
    </row>
    <row r="6" spans="1:5" ht="15.75" thickBot="1" x14ac:dyDescent="0.3">
      <c r="A6" s="12"/>
      <c r="B6" s="12"/>
      <c r="C6" s="12"/>
      <c r="D6" s="12"/>
      <c r="E6" s="12"/>
    </row>
    <row r="7" spans="1:5" x14ac:dyDescent="0.25">
      <c r="A7" s="35" t="s">
        <v>182</v>
      </c>
      <c r="B7" s="35" t="s">
        <v>183</v>
      </c>
      <c r="C7" s="35" t="s">
        <v>184</v>
      </c>
      <c r="D7" s="35" t="s">
        <v>185</v>
      </c>
      <c r="E7" s="35" t="s">
        <v>186</v>
      </c>
    </row>
    <row r="8" spans="1:5" ht="15.75" thickBot="1" x14ac:dyDescent="0.3">
      <c r="A8" s="36"/>
      <c r="B8" s="37" t="s">
        <v>187</v>
      </c>
      <c r="C8" s="37" t="s">
        <v>188</v>
      </c>
      <c r="D8" s="37" t="s">
        <v>189</v>
      </c>
      <c r="E8" s="37"/>
    </row>
    <row r="9" spans="1:5" x14ac:dyDescent="0.25">
      <c r="A9" s="38" t="s">
        <v>195</v>
      </c>
      <c r="B9" s="39">
        <f>'[3]balanço e dre '!H97</f>
        <v>49336.34</v>
      </c>
      <c r="C9" s="39">
        <v>0</v>
      </c>
      <c r="D9" s="39">
        <f>'[3]balanço e dre '!H98</f>
        <v>1957311.6500000057</v>
      </c>
      <c r="E9" s="40">
        <f>SUM(B9:D9)</f>
        <v>2006647.9900000058</v>
      </c>
    </row>
    <row r="10" spans="1:5" x14ac:dyDescent="0.25">
      <c r="A10" s="41" t="s">
        <v>190</v>
      </c>
      <c r="B10" s="42">
        <v>0</v>
      </c>
      <c r="C10" s="42">
        <v>0</v>
      </c>
      <c r="D10" s="42">
        <f>'[3]demonst de origens e recursos'!G11</f>
        <v>-41773.54</v>
      </c>
      <c r="E10" s="43"/>
    </row>
    <row r="11" spans="1:5" x14ac:dyDescent="0.25">
      <c r="A11" s="41" t="s">
        <v>191</v>
      </c>
      <c r="B11" s="42">
        <v>0</v>
      </c>
      <c r="C11" s="42">
        <v>0</v>
      </c>
      <c r="D11" s="42">
        <f>'[3]balanço e dre '!F210</f>
        <v>-658156.09000000672</v>
      </c>
      <c r="E11" s="43"/>
    </row>
    <row r="12" spans="1:5" x14ac:dyDescent="0.25">
      <c r="A12" s="41"/>
      <c r="B12" s="42"/>
      <c r="C12" s="42"/>
      <c r="D12" s="42"/>
      <c r="E12" s="43"/>
    </row>
    <row r="13" spans="1:5" x14ac:dyDescent="0.25">
      <c r="A13" s="44" t="s">
        <v>196</v>
      </c>
      <c r="B13" s="45">
        <f>B9+C9</f>
        <v>49336.34</v>
      </c>
      <c r="C13" s="45">
        <v>0</v>
      </c>
      <c r="D13" s="45">
        <f>D9+D11+D10</f>
        <v>1257382.0199999991</v>
      </c>
      <c r="E13" s="46">
        <f>SUM(B13:D13)</f>
        <v>1306718.3599999992</v>
      </c>
    </row>
    <row r="14" spans="1:5" ht="15.75" thickBot="1" x14ac:dyDescent="0.3">
      <c r="A14" s="47"/>
      <c r="B14" s="48"/>
      <c r="C14" s="48"/>
      <c r="D14" s="48"/>
      <c r="E14" s="49"/>
    </row>
    <row r="15" spans="1:5" x14ac:dyDescent="0.25">
      <c r="A15" s="27"/>
      <c r="B15" s="27"/>
      <c r="C15" s="27"/>
      <c r="D15" s="27"/>
      <c r="E15" s="27"/>
    </row>
    <row r="16" spans="1:5" x14ac:dyDescent="0.25">
      <c r="A16" s="27"/>
      <c r="B16" s="27"/>
      <c r="C16" s="27"/>
      <c r="D16" s="27"/>
      <c r="E16" s="32"/>
    </row>
    <row r="17" spans="1:5" x14ac:dyDescent="0.25">
      <c r="A17" s="27"/>
      <c r="B17" s="27"/>
      <c r="C17" s="27"/>
      <c r="D17" s="32"/>
      <c r="E17" s="32"/>
    </row>
    <row r="18" spans="1:5" x14ac:dyDescent="0.25">
      <c r="A18" s="27"/>
      <c r="B18" s="27"/>
      <c r="C18" s="27"/>
      <c r="D18" s="27"/>
      <c r="E18" s="32"/>
    </row>
    <row r="19" spans="1:5" x14ac:dyDescent="0.25">
      <c r="A19" s="54" t="s">
        <v>194</v>
      </c>
      <c r="B19" s="54"/>
      <c r="C19" s="54"/>
      <c r="D19" s="54"/>
      <c r="E19" s="54"/>
    </row>
    <row r="20" spans="1:5" x14ac:dyDescent="0.25">
      <c r="A20" s="27"/>
      <c r="B20" s="27"/>
      <c r="C20" s="27"/>
      <c r="D20" s="27"/>
      <c r="E20" s="27"/>
    </row>
    <row r="21" spans="1:5" x14ac:dyDescent="0.25">
      <c r="A21" s="27"/>
      <c r="B21" s="27"/>
      <c r="C21" s="27"/>
      <c r="D21" s="27"/>
      <c r="E21" s="27"/>
    </row>
    <row r="22" spans="1:5" x14ac:dyDescent="0.25">
      <c r="A22" s="2" t="s">
        <v>192</v>
      </c>
      <c r="B22" s="2"/>
      <c r="C22" s="12"/>
      <c r="D22" s="52" t="s">
        <v>60</v>
      </c>
      <c r="E22" s="52"/>
    </row>
    <row r="23" spans="1:5" x14ac:dyDescent="0.25">
      <c r="A23" s="2" t="s">
        <v>193</v>
      </c>
      <c r="B23" s="2"/>
      <c r="C23" s="12"/>
      <c r="D23" s="52" t="s">
        <v>62</v>
      </c>
      <c r="E23" s="52"/>
    </row>
    <row r="24" spans="1:5" x14ac:dyDescent="0.25">
      <c r="A24" s="24" t="s">
        <v>63</v>
      </c>
      <c r="B24" s="24"/>
      <c r="C24" s="12"/>
      <c r="D24" s="52" t="s">
        <v>64</v>
      </c>
      <c r="E24" s="52"/>
    </row>
  </sheetData>
  <mergeCells count="7">
    <mergeCell ref="D24:E24"/>
    <mergeCell ref="A1:E1"/>
    <mergeCell ref="A2:E2"/>
    <mergeCell ref="A4:E4"/>
    <mergeCell ref="A19:E19"/>
    <mergeCell ref="D22:E22"/>
    <mergeCell ref="D23:E2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Balanço e DRE</vt:lpstr>
      <vt:lpstr>Demonstrativo Origens e Recurso</vt:lpstr>
      <vt:lpstr>Fluxo de Caixa</vt:lpstr>
      <vt:lpstr>Valor Adicionado</vt:lpstr>
      <vt:lpstr>Demons. Mutações do 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Pedralli</dc:creator>
  <cp:lastModifiedBy>Rafael Pedralli</cp:lastModifiedBy>
  <dcterms:created xsi:type="dcterms:W3CDTF">2026-03-30T20:09:12Z</dcterms:created>
  <dcterms:modified xsi:type="dcterms:W3CDTF">2026-03-30T20:20:28Z</dcterms:modified>
</cp:coreProperties>
</file>