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8_{3B584936-2219-4D09-8319-53A220B348D1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5" l="1"/>
  <c r="D10" i="5"/>
  <c r="D9" i="5"/>
  <c r="D13" i="5" s="1"/>
  <c r="B9" i="5"/>
  <c r="B13" i="5" s="1"/>
  <c r="E13" i="5" s="1"/>
  <c r="D28" i="4"/>
  <c r="E28" i="4" s="1"/>
  <c r="D27" i="4"/>
  <c r="E27" i="4" s="1"/>
  <c r="D26" i="4"/>
  <c r="D17" i="4" s="1"/>
  <c r="D25" i="4"/>
  <c r="D30" i="4" s="1"/>
  <c r="E30" i="4" s="1"/>
  <c r="D18" i="4"/>
  <c r="D16" i="4"/>
  <c r="E16" i="4" s="1"/>
  <c r="D15" i="4"/>
  <c r="D20" i="4" s="1"/>
  <c r="E20" i="4" s="1"/>
  <c r="D12" i="4"/>
  <c r="E25" i="4" s="1"/>
  <c r="E10" i="4"/>
  <c r="D10" i="4"/>
  <c r="D9" i="4"/>
  <c r="E9" i="4" s="1"/>
  <c r="D8" i="4"/>
  <c r="E8" i="4" s="1"/>
  <c r="M49" i="3"/>
  <c r="L49" i="3"/>
  <c r="K49" i="3"/>
  <c r="J49" i="3"/>
  <c r="I49" i="3"/>
  <c r="H49" i="3"/>
  <c r="G49" i="3"/>
  <c r="F49" i="3"/>
  <c r="E49" i="3"/>
  <c r="D49" i="3"/>
  <c r="C49" i="3"/>
  <c r="B49" i="3"/>
  <c r="M43" i="3"/>
  <c r="L43" i="3"/>
  <c r="K43" i="3"/>
  <c r="J43" i="3"/>
  <c r="I43" i="3"/>
  <c r="I41" i="3" s="1"/>
  <c r="H43" i="3"/>
  <c r="G43" i="3"/>
  <c r="G41" i="3" s="1"/>
  <c r="G45" i="3" s="1"/>
  <c r="F43" i="3"/>
  <c r="F41" i="3" s="1"/>
  <c r="F45" i="3" s="1"/>
  <c r="E43" i="3"/>
  <c r="E41" i="3" s="1"/>
  <c r="E45" i="3" s="1"/>
  <c r="D43" i="3"/>
  <c r="D41" i="3" s="1"/>
  <c r="D45" i="3" s="1"/>
  <c r="C43" i="3"/>
  <c r="C41" i="3" s="1"/>
  <c r="C45" i="3" s="1"/>
  <c r="B43" i="3"/>
  <c r="J42" i="3"/>
  <c r="I42" i="3"/>
  <c r="G42" i="3"/>
  <c r="F42" i="3"/>
  <c r="E42" i="3"/>
  <c r="D42" i="3"/>
  <c r="C42" i="3"/>
  <c r="B42" i="3"/>
  <c r="B41" i="3" s="1"/>
  <c r="M41" i="3"/>
  <c r="L41" i="3"/>
  <c r="K41" i="3"/>
  <c r="J41" i="3"/>
  <c r="H41" i="3"/>
  <c r="M38" i="3"/>
  <c r="M45" i="3" s="1"/>
  <c r="L38" i="3"/>
  <c r="L45" i="3" s="1"/>
  <c r="K38" i="3"/>
  <c r="K45" i="3" s="1"/>
  <c r="J38" i="3"/>
  <c r="J45" i="3" s="1"/>
  <c r="I38" i="3"/>
  <c r="I45" i="3" s="1"/>
  <c r="H38" i="3"/>
  <c r="H45" i="3" s="1"/>
  <c r="G38" i="3"/>
  <c r="F38" i="3"/>
  <c r="E38" i="3"/>
  <c r="D38" i="3"/>
  <c r="C38" i="3"/>
  <c r="B38" i="3"/>
  <c r="M33" i="3"/>
  <c r="L33" i="3"/>
  <c r="K33" i="3"/>
  <c r="J33" i="3"/>
  <c r="I33" i="3"/>
  <c r="H33" i="3"/>
  <c r="G33" i="3"/>
  <c r="F33" i="3"/>
  <c r="E33" i="3"/>
  <c r="D33" i="3"/>
  <c r="C33" i="3"/>
  <c r="B33" i="3"/>
  <c r="M32" i="3"/>
  <c r="M31" i="3" s="1"/>
  <c r="L32" i="3"/>
  <c r="K32" i="3"/>
  <c r="J32" i="3"/>
  <c r="I32" i="3"/>
  <c r="H32" i="3"/>
  <c r="G32" i="3"/>
  <c r="F32" i="3"/>
  <c r="E32" i="3"/>
  <c r="D32" i="3"/>
  <c r="C32" i="3"/>
  <c r="B32" i="3"/>
  <c r="B31" i="3" s="1"/>
  <c r="L31" i="3"/>
  <c r="K31" i="3"/>
  <c r="J31" i="3"/>
  <c r="I31" i="3"/>
  <c r="H31" i="3"/>
  <c r="G31" i="3"/>
  <c r="F31" i="3"/>
  <c r="E31" i="3"/>
  <c r="D31" i="3"/>
  <c r="C31" i="3"/>
  <c r="M30" i="3"/>
  <c r="M28" i="3" s="1"/>
  <c r="M34" i="3" s="1"/>
  <c r="L30" i="3"/>
  <c r="K30" i="3"/>
  <c r="J30" i="3"/>
  <c r="I30" i="3"/>
  <c r="H30" i="3"/>
  <c r="G30" i="3"/>
  <c r="F30" i="3"/>
  <c r="E30" i="3"/>
  <c r="D30" i="3"/>
  <c r="C30" i="3"/>
  <c r="B30" i="3"/>
  <c r="B28" i="3" s="1"/>
  <c r="B34" i="3" s="1"/>
  <c r="L28" i="3"/>
  <c r="L34" i="3" s="1"/>
  <c r="K28" i="3"/>
  <c r="K34" i="3" s="1"/>
  <c r="J28" i="3"/>
  <c r="J34" i="3" s="1"/>
  <c r="I28" i="3"/>
  <c r="I34" i="3" s="1"/>
  <c r="H28" i="3"/>
  <c r="H34" i="3" s="1"/>
  <c r="G28" i="3"/>
  <c r="G34" i="3" s="1"/>
  <c r="F28" i="3"/>
  <c r="F34" i="3" s="1"/>
  <c r="E28" i="3"/>
  <c r="E34" i="3" s="1"/>
  <c r="D28" i="3"/>
  <c r="D34" i="3" s="1"/>
  <c r="C28" i="3"/>
  <c r="C34" i="3" s="1"/>
  <c r="M23" i="3"/>
  <c r="M22" i="3" s="1"/>
  <c r="L23" i="3"/>
  <c r="K23" i="3"/>
  <c r="J23" i="3"/>
  <c r="I23" i="3"/>
  <c r="H23" i="3"/>
  <c r="G23" i="3"/>
  <c r="F23" i="3"/>
  <c r="E23" i="3"/>
  <c r="D23" i="3"/>
  <c r="C23" i="3"/>
  <c r="B23" i="3"/>
  <c r="L22" i="3"/>
  <c r="K22" i="3"/>
  <c r="J22" i="3"/>
  <c r="I22" i="3"/>
  <c r="H22" i="3"/>
  <c r="G22" i="3"/>
  <c r="F22" i="3"/>
  <c r="E22" i="3"/>
  <c r="D22" i="3"/>
  <c r="C22" i="3"/>
  <c r="B22" i="3"/>
  <c r="M21" i="3"/>
  <c r="L21" i="3"/>
  <c r="K21" i="3"/>
  <c r="J21" i="3"/>
  <c r="I21" i="3"/>
  <c r="H21" i="3"/>
  <c r="G21" i="3"/>
  <c r="F21" i="3"/>
  <c r="E21" i="3"/>
  <c r="D21" i="3"/>
  <c r="C21" i="3"/>
  <c r="B21" i="3"/>
  <c r="B20" i="3" s="1"/>
  <c r="B24" i="3" s="1"/>
  <c r="M20" i="3"/>
  <c r="M24" i="3" s="1"/>
  <c r="L20" i="3"/>
  <c r="L24" i="3" s="1"/>
  <c r="K20" i="3"/>
  <c r="K24" i="3" s="1"/>
  <c r="J20" i="3"/>
  <c r="J24" i="3" s="1"/>
  <c r="I20" i="3"/>
  <c r="I24" i="3" s="1"/>
  <c r="H20" i="3"/>
  <c r="H24" i="3" s="1"/>
  <c r="G20" i="3"/>
  <c r="G24" i="3" s="1"/>
  <c r="F20" i="3"/>
  <c r="F24" i="3" s="1"/>
  <c r="E20" i="3"/>
  <c r="E24" i="3" s="1"/>
  <c r="D20" i="3"/>
  <c r="D24" i="3" s="1"/>
  <c r="C20" i="3"/>
  <c r="C24" i="3" s="1"/>
  <c r="M15" i="3"/>
  <c r="L15" i="3"/>
  <c r="K15" i="3"/>
  <c r="J15" i="3"/>
  <c r="I15" i="3"/>
  <c r="H15" i="3"/>
  <c r="G15" i="3"/>
  <c r="F15" i="3"/>
  <c r="E15" i="3"/>
  <c r="D15" i="3"/>
  <c r="C15" i="3"/>
  <c r="B15" i="3"/>
  <c r="M14" i="3"/>
  <c r="L14" i="3"/>
  <c r="K14" i="3"/>
  <c r="J14" i="3"/>
  <c r="I14" i="3"/>
  <c r="H14" i="3"/>
  <c r="G14" i="3"/>
  <c r="F14" i="3"/>
  <c r="E14" i="3"/>
  <c r="D14" i="3"/>
  <c r="C14" i="3"/>
  <c r="B14" i="3"/>
  <c r="M13" i="3"/>
  <c r="L13" i="3"/>
  <c r="K13" i="3"/>
  <c r="J13" i="3"/>
  <c r="I13" i="3"/>
  <c r="H13" i="3"/>
  <c r="G13" i="3"/>
  <c r="F13" i="3"/>
  <c r="E13" i="3"/>
  <c r="D13" i="3"/>
  <c r="C13" i="3"/>
  <c r="B13" i="3"/>
  <c r="M12" i="3"/>
  <c r="L12" i="3"/>
  <c r="K12" i="3"/>
  <c r="J12" i="3"/>
  <c r="I12" i="3"/>
  <c r="H12" i="3"/>
  <c r="G12" i="3"/>
  <c r="F12" i="3"/>
  <c r="E12" i="3"/>
  <c r="D12" i="3"/>
  <c r="C12" i="3"/>
  <c r="B12" i="3"/>
  <c r="M11" i="3"/>
  <c r="M10" i="3" s="1"/>
  <c r="L11" i="3"/>
  <c r="K11" i="3"/>
  <c r="J11" i="3"/>
  <c r="I11" i="3"/>
  <c r="H11" i="3"/>
  <c r="G11" i="3"/>
  <c r="F11" i="3"/>
  <c r="E11" i="3"/>
  <c r="D11" i="3"/>
  <c r="C11" i="3"/>
  <c r="B11" i="3"/>
  <c r="B10" i="3" s="1"/>
  <c r="L10" i="3"/>
  <c r="K10" i="3"/>
  <c r="J10" i="3"/>
  <c r="I10" i="3"/>
  <c r="H10" i="3"/>
  <c r="G10" i="3"/>
  <c r="F10" i="3"/>
  <c r="E10" i="3"/>
  <c r="D10" i="3"/>
  <c r="C10" i="3"/>
  <c r="M9" i="3"/>
  <c r="L9" i="3"/>
  <c r="K9" i="3"/>
  <c r="J9" i="3"/>
  <c r="I9" i="3"/>
  <c r="H9" i="3"/>
  <c r="G9" i="3"/>
  <c r="F9" i="3"/>
  <c r="E9" i="3"/>
  <c r="D9" i="3"/>
  <c r="C9" i="3"/>
  <c r="B9" i="3"/>
  <c r="M8" i="3"/>
  <c r="M7" i="3" s="1"/>
  <c r="L8" i="3"/>
  <c r="K8" i="3"/>
  <c r="J8" i="3"/>
  <c r="I8" i="3"/>
  <c r="H8" i="3"/>
  <c r="G8" i="3"/>
  <c r="F8" i="3"/>
  <c r="E8" i="3"/>
  <c r="D8" i="3"/>
  <c r="C8" i="3"/>
  <c r="B8" i="3"/>
  <c r="B7" i="3" s="1"/>
  <c r="L7" i="3"/>
  <c r="L16" i="3" s="1"/>
  <c r="K7" i="3"/>
  <c r="K16" i="3" s="1"/>
  <c r="J7" i="3"/>
  <c r="J16" i="3" s="1"/>
  <c r="I7" i="3"/>
  <c r="I16" i="3" s="1"/>
  <c r="I47" i="3" s="1"/>
  <c r="I50" i="3" s="1"/>
  <c r="H7" i="3"/>
  <c r="H16" i="3" s="1"/>
  <c r="H47" i="3" s="1"/>
  <c r="H50" i="3" s="1"/>
  <c r="G7" i="3"/>
  <c r="G16" i="3" s="1"/>
  <c r="G47" i="3" s="1"/>
  <c r="G50" i="3" s="1"/>
  <c r="F7" i="3"/>
  <c r="F16" i="3" s="1"/>
  <c r="F47" i="3" s="1"/>
  <c r="F50" i="3" s="1"/>
  <c r="E7" i="3"/>
  <c r="E16" i="3" s="1"/>
  <c r="D7" i="3"/>
  <c r="D16" i="3" s="1"/>
  <c r="C7" i="3"/>
  <c r="C16" i="3" s="1"/>
  <c r="H41" i="2"/>
  <c r="H40" i="2"/>
  <c r="H42" i="2" s="1"/>
  <c r="F36" i="2"/>
  <c r="H36" i="2" s="1"/>
  <c r="F35" i="2"/>
  <c r="F37" i="2" s="1"/>
  <c r="H37" i="2" s="1"/>
  <c r="G28" i="2"/>
  <c r="G25" i="2"/>
  <c r="G24" i="2"/>
  <c r="G23" i="2"/>
  <c r="G15" i="2"/>
  <c r="G13" i="2"/>
  <c r="G10" i="2"/>
  <c r="G19" i="2" s="1"/>
  <c r="G29" i="2" s="1"/>
  <c r="I222" i="1"/>
  <c r="I220" i="1"/>
  <c r="F220" i="1"/>
  <c r="G220" i="1" s="1"/>
  <c r="I218" i="1"/>
  <c r="F218" i="1"/>
  <c r="G218" i="1" s="1"/>
  <c r="F216" i="1"/>
  <c r="I207" i="1"/>
  <c r="F207" i="1"/>
  <c r="F205" i="1"/>
  <c r="F206" i="1" s="1"/>
  <c r="I204" i="1"/>
  <c r="F202" i="1"/>
  <c r="I197" i="1"/>
  <c r="F197" i="1"/>
  <c r="G197" i="1" s="1"/>
  <c r="I196" i="1"/>
  <c r="I195" i="1"/>
  <c r="I194" i="1"/>
  <c r="I191" i="1"/>
  <c r="F191" i="1"/>
  <c r="G191" i="1" s="1"/>
  <c r="I188" i="1"/>
  <c r="F188" i="1"/>
  <c r="F187" i="1" s="1"/>
  <c r="G187" i="1" s="1"/>
  <c r="I187" i="1"/>
  <c r="I186" i="1"/>
  <c r="I184" i="1"/>
  <c r="F184" i="1"/>
  <c r="G184" i="1" s="1"/>
  <c r="I183" i="1"/>
  <c r="I182" i="1"/>
  <c r="I181" i="1"/>
  <c r="I176" i="1"/>
  <c r="F176" i="1"/>
  <c r="G176" i="1" s="1"/>
  <c r="I175" i="1"/>
  <c r="I174" i="1"/>
  <c r="F173" i="1"/>
  <c r="I172" i="1"/>
  <c r="F172" i="1"/>
  <c r="G181" i="1" s="1"/>
  <c r="F107" i="1"/>
  <c r="I105" i="1"/>
  <c r="F105" i="1"/>
  <c r="F101" i="1"/>
  <c r="I100" i="1"/>
  <c r="F100" i="1"/>
  <c r="F95" i="1"/>
  <c r="F91" i="1"/>
  <c r="F88" i="1" s="1"/>
  <c r="I88" i="1"/>
  <c r="I63" i="1"/>
  <c r="F60" i="1"/>
  <c r="I58" i="1"/>
  <c r="F58" i="1"/>
  <c r="F45" i="1"/>
  <c r="F44" i="1"/>
  <c r="F41" i="1" s="1"/>
  <c r="F43" i="1"/>
  <c r="I41" i="1"/>
  <c r="F38" i="1"/>
  <c r="F34" i="1"/>
  <c r="I33" i="1"/>
  <c r="F31" i="1"/>
  <c r="I23" i="1"/>
  <c r="F23" i="1"/>
  <c r="F17" i="1"/>
  <c r="I13" i="1"/>
  <c r="F13" i="1"/>
  <c r="F10" i="1"/>
  <c r="I8" i="1"/>
  <c r="F8" i="1"/>
  <c r="I7" i="1"/>
  <c r="F7" i="1"/>
  <c r="E9" i="5" l="1"/>
  <c r="E18" i="4"/>
  <c r="E17" i="4"/>
  <c r="D22" i="4"/>
  <c r="E12" i="4"/>
  <c r="E15" i="4"/>
  <c r="E26" i="4"/>
  <c r="K47" i="3"/>
  <c r="K50" i="3" s="1"/>
  <c r="J47" i="3"/>
  <c r="J50" i="3" s="1"/>
  <c r="L47" i="3"/>
  <c r="L50" i="3" s="1"/>
  <c r="M16" i="3"/>
  <c r="M47" i="3" s="1"/>
  <c r="M50" i="3" s="1"/>
  <c r="B16" i="3"/>
  <c r="C47" i="3"/>
  <c r="C50" i="3" s="1"/>
  <c r="D47" i="3"/>
  <c r="D50" i="3" s="1"/>
  <c r="E47" i="3"/>
  <c r="E50" i="3" s="1"/>
  <c r="B45" i="3"/>
  <c r="H35" i="2"/>
  <c r="F33" i="1"/>
  <c r="F108" i="1"/>
  <c r="G196" i="1"/>
  <c r="G207" i="1"/>
  <c r="G183" i="1"/>
  <c r="G188" i="1"/>
  <c r="G174" i="1"/>
  <c r="G172" i="1"/>
  <c r="G175" i="1"/>
  <c r="G182" i="1"/>
  <c r="F186" i="1"/>
  <c r="G194" i="1"/>
  <c r="G195" i="1"/>
  <c r="B47" i="3" l="1"/>
  <c r="B50" i="3" s="1"/>
  <c r="G108" i="1"/>
  <c r="G105" i="1"/>
  <c r="F63" i="1"/>
  <c r="G33" i="1"/>
  <c r="G186" i="1"/>
  <c r="F204" i="1"/>
  <c r="G88" i="1"/>
  <c r="G100" i="1"/>
  <c r="F222" i="1" l="1"/>
  <c r="G222" i="1" s="1"/>
  <c r="G204" i="1"/>
  <c r="G63" i="1"/>
  <c r="G23" i="1"/>
  <c r="G13" i="1"/>
  <c r="G58" i="1"/>
  <c r="G7" i="1"/>
  <c r="G8" i="1"/>
  <c r="G41" i="1"/>
</calcChain>
</file>

<file path=xl/sharedStrings.xml><?xml version="1.0" encoding="utf-8"?>
<sst xmlns="http://schemas.openxmlformats.org/spreadsheetml/2006/main" count="319" uniqueCount="232">
  <si>
    <t>HOSPITAL DE CARIDADE DE CARAZINHO</t>
  </si>
  <si>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</si>
  <si>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</si>
  <si>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</si>
  <si>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</si>
  <si>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</si>
  <si>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</si>
  <si>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</si>
  <si>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</si>
  <si>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Banco Brasil - PRONOM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</si>
  <si>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</si>
  <si>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</si>
  <si>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</si>
  <si>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</si>
  <si>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</si>
  <si>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</si>
  <si>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</si>
  <si>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</si>
  <si>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</si>
  <si>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</si>
  <si>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</si>
  <si>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</si>
  <si>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</si>
  <si>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</si>
  <si>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</si>
  <si>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</si>
  <si>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</si>
  <si>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</si>
  <si>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</si>
  <si>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</si>
  <si>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</si>
  <si>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</si>
  <si>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</si>
  <si>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Fundo de Reserva de Consórcios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</si>
  <si>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</si>
  <si>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</si>
  <si>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</si>
  <si>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</si>
  <si>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</si>
  <si>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</si>
  <si>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</si>
  <si>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</si>
  <si>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</si>
  <si>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</si>
  <si>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</si>
  <si>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</si>
  <si>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</si>
  <si>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</si>
  <si>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</si>
  <si>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</si>
  <si>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</si>
  <si>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</si>
  <si>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</si>
  <si>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</si>
  <si>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Consórcios</t>
  </si>
  <si>
    <t>Restaurante HCC</t>
  </si>
  <si>
    <t>Imóveis Bairro São Lucas</t>
  </si>
  <si>
    <t>Imóveis</t>
  </si>
  <si>
    <t>( - ) Depreciação Acumulada de Bens</t>
  </si>
  <si>
    <t>TOTAL DO ATIVO</t>
  </si>
  <si>
    <t>Carazinho, 31 de dezembro de 2.019</t>
  </si>
  <si>
    <t xml:space="preserve">    Felipe Sohne</t>
  </si>
  <si>
    <t>José Armando Lubian</t>
  </si>
  <si>
    <t xml:space="preserve">    Administrador CRA-RS 34.398</t>
  </si>
  <si>
    <t>Contador CRC-RS 65.661</t>
  </si>
  <si>
    <t>CPF 014.802.380-07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</si>
  <si>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</si>
  <si>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</si>
  <si>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</si>
  <si>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</si>
  <si>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</si>
  <si>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</si>
  <si>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</si>
  <si>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</si>
  <si>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</si>
  <si>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</si>
  <si>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</si>
  <si>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</si>
  <si>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</si>
  <si>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</si>
  <si>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</si>
  <si>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</si>
  <si>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</si>
  <si>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</si>
  <si>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</si>
  <si>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</si>
  <si>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</si>
  <si>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</si>
  <si>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</si>
  <si>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</si>
  <si>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</si>
  <si>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Assistência Médica - SUS</t>
  </si>
  <si>
    <t>(+) SUS - Ambulatório</t>
  </si>
  <si>
    <t>(+) Convênios</t>
  </si>
  <si>
    <t xml:space="preserve">      Pacientes Ipergs</t>
  </si>
  <si>
    <t xml:space="preserve">      Pacientes Unimed</t>
  </si>
  <si>
    <t xml:space="preserve">      Pacientes Capsem</t>
  </si>
  <si>
    <t xml:space="preserve">      Pacientes Outros Convênios</t>
  </si>
  <si>
    <t>(+) Particulares Internados</t>
  </si>
  <si>
    <t>(-) Glosas</t>
  </si>
  <si>
    <t>(+) Particulares Ambulatoriais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</si>
  <si>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</si>
  <si>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</si>
  <si>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</si>
  <si>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</si>
  <si>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</si>
  <si>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</si>
  <si>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</si>
  <si>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</si>
  <si>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</si>
  <si>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</si>
  <si>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</si>
  <si>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</si>
  <si>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</si>
  <si>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</si>
  <si>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</si>
  <si>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</si>
  <si>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</si>
  <si>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</si>
  <si>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</si>
  <si>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</si>
  <si>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(=) Superávit/Déficit Operacional</t>
  </si>
  <si>
    <t>Despesas Fiscais e Previdenciárias</t>
  </si>
  <si>
    <t>(-) Benefício Fiscal Previdenciário</t>
  </si>
  <si>
    <t>(=) Receitas não operacionais</t>
  </si>
  <si>
    <t xml:space="preserve">   (+) Alugueis</t>
  </si>
  <si>
    <t xml:space="preserve">   (+) Doação PRONON</t>
  </si>
  <si>
    <t xml:space="preserve">   (+) Outras Doações </t>
  </si>
  <si>
    <t xml:space="preserve">   (+) Subvenções Eventuais</t>
  </si>
  <si>
    <t xml:space="preserve">   (+) Vendas Lancheria HCC</t>
  </si>
  <si>
    <t xml:space="preserve">   (+) Proc. Conversão Tabela SUS - URV</t>
  </si>
  <si>
    <t xml:space="preserve">   (+) Participação Exames Ressonancia/Tomografias</t>
  </si>
  <si>
    <t xml:space="preserve">   (+) Outras receitas</t>
  </si>
  <si>
    <t>(-) Despesas não operacionais</t>
  </si>
  <si>
    <t xml:space="preserve">   (-) Outras despesas</t>
  </si>
  <si>
    <t xml:space="preserve">(-) Despesas financeiras </t>
  </si>
  <si>
    <t xml:space="preserve">    (-) Despesas financeiras</t>
  </si>
  <si>
    <t>(+) Receitas de aplicações financeiras</t>
  </si>
  <si>
    <t xml:space="preserve">    (+) Receitas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</si>
  <si>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</si>
  <si>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</si>
  <si>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</si>
  <si>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</si>
  <si>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</si>
  <si>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</si>
  <si>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</si>
  <si>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</si>
  <si>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</si>
  <si>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</si>
  <si>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</si>
  <si>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</si>
  <si>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</si>
  <si>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</si>
  <si>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</si>
  <si>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</si>
  <si>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</si>
  <si>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</si>
  <si>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</si>
  <si>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</si>
  <si>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</si>
  <si>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</si>
  <si>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</si>
  <si>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</si>
  <si>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</si>
  <si>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Fluxo de Caixa Hospital de Caridade de Carazinho</t>
  </si>
  <si>
    <t>I - DAS ATIVIDADES OPERACIONAIS</t>
  </si>
  <si>
    <t>$</t>
  </si>
  <si>
    <t>ENTRADAS</t>
  </si>
  <si>
    <t xml:space="preserve">    Recebimentos de Clientes</t>
  </si>
  <si>
    <t xml:space="preserve">    Outros Créditos</t>
  </si>
  <si>
    <t>SAÍDAS</t>
  </si>
  <si>
    <r>
      <t xml:space="preserve">    </t>
    </r>
    <r>
      <rPr>
        <sz val="9"/>
        <rFont val="Arial"/>
        <family val="2"/>
      </rPr>
      <t>Pagamentos a Fornecedores</t>
    </r>
  </si>
  <si>
    <t xml:space="preserve">    Pagamentos do Pessoal</t>
  </si>
  <si>
    <t xml:space="preserve">    Serviços de terceiros </t>
  </si>
  <si>
    <t xml:space="preserve">    Despesas gerais - pagamentos</t>
  </si>
  <si>
    <t xml:space="preserve">    Glosas </t>
  </si>
  <si>
    <t>SALDO DAS ATIVIDADES OPERACIONAIS</t>
  </si>
  <si>
    <t>II. - DAS ATIVIDADES NÃO OPERACIONAIS</t>
  </si>
  <si>
    <t xml:space="preserve">    Receitas não operacionais</t>
  </si>
  <si>
    <t xml:space="preserve">    Despesas não operacionais</t>
  </si>
  <si>
    <t>SALDO DAS ATIVIDADES NÃO OPERACIONAIS</t>
  </si>
  <si>
    <t>III - DAS ATIVIDADES DE INVESTIMENTOS</t>
  </si>
  <si>
    <t xml:space="preserve">    Valor de Venda de Permanentes</t>
  </si>
  <si>
    <t xml:space="preserve">    Depreciação acumulada</t>
  </si>
  <si>
    <t xml:space="preserve">    Investimentos no Permanente</t>
  </si>
  <si>
    <t xml:space="preserve">    Investimentos no Realiz. L.P.</t>
  </si>
  <si>
    <t>SALDO DAS ATIVIDADES DE INVESTIMENTO</t>
  </si>
  <si>
    <t>IV - DAS ATIVIDADES DE FINANCIAMENTO</t>
  </si>
  <si>
    <t xml:space="preserve">    Novos Empréstimos</t>
  </si>
  <si>
    <t xml:space="preserve">    Integralização de Capital</t>
  </si>
  <si>
    <t xml:space="preserve">    Amortização de Empréstimos</t>
  </si>
  <si>
    <t xml:space="preserve">    Despesas ( - ) Receitas Financeiras</t>
  </si>
  <si>
    <t xml:space="preserve">    Outras atividades de financiamento</t>
  </si>
  <si>
    <t>SALDO DAS ATIVIDADES DE FINANCIAMENTO</t>
  </si>
  <si>
    <t>SALDO DO PERÍODO</t>
  </si>
  <si>
    <t>( + ) Saldo inicial Caixa/Bancos/Aplic. Finan..</t>
  </si>
  <si>
    <t xml:space="preserve"> = Saldo Final Caixa/Bancos/Aplic. Finan..</t>
  </si>
  <si>
    <t>Carazinho 31 de dezembro de 2019</t>
  </si>
  <si>
    <t>DEMONSTRAÇÃO DO VALOR ADICIONADO</t>
  </si>
  <si>
    <t>1)  ENTRADAS</t>
  </si>
  <si>
    <t>A) Vendas de Produtos e Serviços</t>
  </si>
  <si>
    <t>B) Receitas Financeiras</t>
  </si>
  <si>
    <t>C) Receitas Não Operacionais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</si>
  <si>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</si>
  <si>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</si>
  <si>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</si>
  <si>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</si>
  <si>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</si>
  <si>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H) Despesas Não Operacionais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</si>
  <si>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</si>
  <si>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</si>
  <si>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</si>
  <si>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</si>
  <si>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</si>
  <si>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</si>
  <si>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</si>
  <si>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</si>
  <si>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</si>
  <si>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</si>
  <si>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</si>
  <si>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</si>
  <si>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</si>
  <si>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</si>
  <si>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</si>
  <si>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</si>
  <si>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</si>
  <si>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Saldo em 31/12/2.018</t>
  </si>
  <si>
    <t>(+) Ajustes Exercícios Anteriores</t>
  </si>
  <si>
    <t>(+) Superávit do Exercício</t>
  </si>
  <si>
    <t>TOTAL EM 31/12/2.019</t>
  </si>
  <si>
    <t>Felipe Sohne</t>
  </si>
  <si>
    <t>Administrador CRA-RS 34.398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</si>
</sst>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0" fontId="3" fillId="0" borderId="0" xfId="0" applyFont="1" applyAlignment="1">
      <alignment horizontal="center"/>
    </xf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164" fontId="3" fillId="0" borderId="0" xfId="0" applyNumberFormat="1" applyFont="1"/>
    <xf numFmtId="0" fontId="10" fillId="0" borderId="0" xfId="0" applyFont="1"/>
    <xf numFmtId="165" fontId="10" fillId="0" borderId="0" xfId="0" applyNumberFormat="1" applyFont="1"/>
    <xf numFmtId="17" fontId="10" fillId="0" borderId="0" xfId="0" applyNumberFormat="1" applyFont="1"/>
    <xf numFmtId="165" fontId="6" fillId="0" borderId="0" xfId="1" applyNumberFormat="1" applyFont="1" applyFill="1" applyBorder="1" applyAlignment="1">
      <alignment horizontal="center"/>
    </xf>
    <xf numFmtId="4" fontId="10" fillId="0" borderId="1" xfId="0" applyNumberFormat="1" applyFont="1" applyBorder="1"/>
    <xf numFmtId="165" fontId="10" fillId="0" borderId="1" xfId="0" applyNumberFormat="1" applyFont="1" applyBorder="1"/>
    <xf numFmtId="165" fontId="10" fillId="0" borderId="1" xfId="1" applyNumberFormat="1" applyFont="1" applyFill="1" applyBorder="1"/>
    <xf numFmtId="164" fontId="9" fillId="0" borderId="1" xfId="1" applyNumberFormat="1" applyFont="1" applyFill="1" applyBorder="1"/>
    <xf numFmtId="164" fontId="10" fillId="0" borderId="1" xfId="1" applyNumberFormat="1" applyFont="1" applyFill="1" applyBorder="1"/>
    <xf numFmtId="0" fontId="10" fillId="0" borderId="1" xfId="0" applyFont="1" applyBorder="1"/>
    <xf numFmtId="4" fontId="10" fillId="0" borderId="0" xfId="0" applyNumberFormat="1" applyFont="1"/>
    <xf numFmtId="165" fontId="10" fillId="0" borderId="2" xfId="0" applyNumberFormat="1" applyFont="1" applyBorder="1"/>
    <xf numFmtId="165" fontId="10" fillId="0" borderId="0" xfId="1" applyNumberFormat="1" applyFont="1" applyFill="1" applyBorder="1"/>
    <xf numFmtId="164" fontId="9" fillId="0" borderId="0" xfId="1" applyNumberFormat="1" applyFont="1" applyFill="1" applyBorder="1"/>
    <xf numFmtId="164" fontId="10" fillId="0" borderId="0" xfId="1" applyNumberFormat="1" applyFont="1" applyFill="1" applyBorder="1"/>
    <xf numFmtId="4" fontId="9" fillId="0" borderId="0" xfId="0" applyNumberFormat="1" applyFont="1"/>
    <xf numFmtId="17" fontId="9" fillId="0" borderId="0" xfId="1" applyNumberFormat="1" applyFont="1" applyFill="1" applyBorder="1" applyAlignment="1">
      <alignment horizontal="center"/>
    </xf>
    <xf numFmtId="165" fontId="9" fillId="0" borderId="1" xfId="1" applyNumberFormat="1" applyFont="1" applyFill="1" applyBorder="1" applyAlignment="1">
      <alignment horizontal="center"/>
    </xf>
    <xf numFmtId="4" fontId="11" fillId="0" borderId="0" xfId="0" applyNumberFormat="1" applyFont="1"/>
    <xf numFmtId="0" fontId="11" fillId="0" borderId="0" xfId="0" applyFont="1"/>
    <xf numFmtId="0" fontId="9" fillId="0" borderId="1" xfId="0" applyFont="1" applyBorder="1"/>
    <xf numFmtId="164" fontId="10" fillId="0" borderId="0" xfId="0" applyNumberFormat="1" applyFont="1"/>
    <xf numFmtId="164" fontId="9" fillId="0" borderId="1" xfId="0" applyNumberFormat="1" applyFont="1" applyBorder="1"/>
    <xf numFmtId="164" fontId="9" fillId="0" borderId="0" xfId="0" applyNumberFormat="1" applyFont="1"/>
    <xf numFmtId="165" fontId="9" fillId="0" borderId="0" xfId="0" applyNumberFormat="1" applyFont="1"/>
    <xf numFmtId="164" fontId="9" fillId="0" borderId="0" xfId="1" applyNumberFormat="1" applyFont="1" applyFill="1" applyBorder="1" applyAlignment="1">
      <alignment horizontal="center"/>
    </xf>
    <xf numFmtId="43" fontId="10" fillId="0" borderId="0" xfId="0" applyNumberFormat="1" applyFont="1"/>
    <xf numFmtId="165" fontId="9" fillId="0" borderId="0" xfId="0" applyNumberFormat="1" applyFont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4" fontId="6" fillId="0" borderId="7" xfId="1" applyNumberFormat="1" applyFont="1" applyFill="1" applyBorder="1"/>
    <xf numFmtId="164" fontId="6" fillId="0" borderId="8" xfId="1" applyNumberFormat="1" applyFont="1" applyFill="1" applyBorder="1"/>
    <xf numFmtId="0" fontId="3" fillId="0" borderId="9" xfId="0" applyFont="1" applyBorder="1"/>
    <xf numFmtId="164" fontId="3" fillId="0" borderId="10" xfId="1" applyNumberFormat="1" applyFont="1" applyFill="1" applyBorder="1"/>
    <xf numFmtId="164" fontId="3" fillId="0" borderId="11" xfId="1" applyNumberFormat="1" applyFont="1" applyFill="1" applyBorder="1"/>
    <xf numFmtId="0" fontId="6" fillId="0" borderId="9" xfId="0" applyFont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3" fillId="0" borderId="12" xfId="0" applyFont="1" applyBorder="1"/>
    <xf numFmtId="164" fontId="3" fillId="0" borderId="13" xfId="1" applyNumberFormat="1" applyFont="1" applyFill="1" applyBorder="1"/>
    <xf numFmtId="164" fontId="3" fillId="0" borderId="14" xfId="1" applyNumberFormat="1" applyFont="1" applyFill="1" applyBorder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19/FLUXO%20DE%20CAIXA%202.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19/COTA%20PATRONAL%202019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19.XLS" TargetMode="External"/><Relationship Id="rId1" Type="http://schemas.openxmlformats.org/officeDocument/2006/relationships/externalLinkPath" Target="/Users/ADMINI~1/AppData/Local/Temp/pid-59620/Balan&#231;o%202.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 dre"/>
      <sheetName val="fluxo de caixa"/>
      <sheetName val="demostração acumulada"/>
      <sheetName val="calculo custos x rec."/>
      <sheetName val="balancete 201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B7">
            <v>1764745.93</v>
          </cell>
          <cell r="C7">
            <v>1503666.87</v>
          </cell>
          <cell r="D7">
            <v>1453452.5</v>
          </cell>
          <cell r="E7">
            <v>2191437.6800000002</v>
          </cell>
          <cell r="F7">
            <v>2057492.55</v>
          </cell>
          <cell r="G7">
            <v>2425930.48</v>
          </cell>
          <cell r="H7">
            <v>2422922.12</v>
          </cell>
          <cell r="I7">
            <v>2401000.08</v>
          </cell>
          <cell r="J7">
            <v>2419383.5300000003</v>
          </cell>
          <cell r="K7">
            <v>2386182.11</v>
          </cell>
          <cell r="L7">
            <v>1758880.57</v>
          </cell>
          <cell r="M7">
            <v>2435180.7400000002</v>
          </cell>
        </row>
        <row r="11">
          <cell r="B11">
            <v>7281892.2300000004</v>
          </cell>
          <cell r="C11">
            <v>7787238.9399999995</v>
          </cell>
          <cell r="D11">
            <v>7966665.9800000004</v>
          </cell>
          <cell r="E11">
            <v>7827258.4900000002</v>
          </cell>
          <cell r="F11">
            <v>8228668.6999999993</v>
          </cell>
          <cell r="G11">
            <v>8542856.0500000007</v>
          </cell>
          <cell r="H11">
            <v>9087682.540000001</v>
          </cell>
          <cell r="I11">
            <v>9006458.0399999991</v>
          </cell>
          <cell r="J11">
            <v>8919426.1899999995</v>
          </cell>
          <cell r="K11">
            <v>8883051.1099999994</v>
          </cell>
          <cell r="L11">
            <v>9150537.6799999997</v>
          </cell>
          <cell r="M11">
            <v>9206929.7300000004</v>
          </cell>
          <cell r="N11">
            <v>8935816.3399999999</v>
          </cell>
        </row>
        <row r="18">
          <cell r="B18">
            <v>916991.06</v>
          </cell>
          <cell r="C18">
            <v>916991.05999999994</v>
          </cell>
          <cell r="D18">
            <v>916980.26</v>
          </cell>
          <cell r="E18">
            <v>917180.26</v>
          </cell>
          <cell r="F18">
            <v>917545.55999999994</v>
          </cell>
          <cell r="G18">
            <v>918042.86</v>
          </cell>
          <cell r="H18">
            <v>918408.16</v>
          </cell>
          <cell r="I18">
            <v>918408.16</v>
          </cell>
          <cell r="J18">
            <v>918408.16</v>
          </cell>
          <cell r="K18">
            <v>919132.55999999994</v>
          </cell>
          <cell r="L18">
            <v>919132.55999999994</v>
          </cell>
          <cell r="M18">
            <v>919132.55999999994</v>
          </cell>
          <cell r="N18">
            <v>1096415.3999999999</v>
          </cell>
        </row>
        <row r="21">
          <cell r="B21">
            <v>17459.28</v>
          </cell>
          <cell r="C21">
            <v>56156.4</v>
          </cell>
          <cell r="D21">
            <v>83990.07</v>
          </cell>
          <cell r="E21">
            <v>133974.00999999998</v>
          </cell>
          <cell r="F21">
            <v>164088.86000000002</v>
          </cell>
          <cell r="G21">
            <v>102418.84</v>
          </cell>
          <cell r="H21">
            <v>71442.73</v>
          </cell>
          <cell r="I21">
            <v>92245.7</v>
          </cell>
          <cell r="J21">
            <v>66748.47</v>
          </cell>
          <cell r="K21">
            <v>74922.070000000007</v>
          </cell>
          <cell r="L21">
            <v>1114319.4700000002</v>
          </cell>
          <cell r="M21">
            <v>1176392.3199999998</v>
          </cell>
          <cell r="N21">
            <v>573813.02</v>
          </cell>
        </row>
        <row r="25">
          <cell r="B25">
            <v>8668.9599999999991</v>
          </cell>
          <cell r="C25">
            <v>9031.92</v>
          </cell>
          <cell r="D25">
            <v>9394.8799999999992</v>
          </cell>
          <cell r="E25">
            <v>9757.84</v>
          </cell>
          <cell r="F25">
            <v>10120.799999999999</v>
          </cell>
          <cell r="G25">
            <v>10783.76</v>
          </cell>
          <cell r="H25">
            <v>11446.72</v>
          </cell>
          <cell r="I25">
            <v>12109.68</v>
          </cell>
          <cell r="J25">
            <v>12772.64</v>
          </cell>
          <cell r="K25">
            <v>13435.6</v>
          </cell>
          <cell r="L25">
            <v>14111</v>
          </cell>
          <cell r="M25">
            <v>14398.7</v>
          </cell>
          <cell r="N25">
            <v>15074.1</v>
          </cell>
        </row>
        <row r="26">
          <cell r="B26">
            <v>25745.16</v>
          </cell>
          <cell r="C26">
            <v>22063.84</v>
          </cell>
          <cell r="D26">
            <v>18382.52</v>
          </cell>
          <cell r="E26">
            <v>14701.2</v>
          </cell>
          <cell r="F26">
            <v>11019.88</v>
          </cell>
          <cell r="G26">
            <v>7338.56</v>
          </cell>
          <cell r="H26">
            <v>3657.24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8">
          <cell r="B28">
            <v>686360.61</v>
          </cell>
          <cell r="C28">
            <v>686392.26</v>
          </cell>
          <cell r="D28">
            <v>686423.69</v>
          </cell>
          <cell r="E28">
            <v>686454.55</v>
          </cell>
          <cell r="F28">
            <v>686485.21</v>
          </cell>
          <cell r="G28">
            <v>686516.1</v>
          </cell>
          <cell r="H28">
            <v>686547.31</v>
          </cell>
          <cell r="I28">
            <v>686675</v>
          </cell>
          <cell r="J28">
            <v>686802.97</v>
          </cell>
          <cell r="K28">
            <v>686929.48</v>
          </cell>
          <cell r="L28">
            <v>687054.54</v>
          </cell>
          <cell r="M28">
            <v>687178.17</v>
          </cell>
          <cell r="N28">
            <v>733467.08</v>
          </cell>
        </row>
        <row r="34">
          <cell r="B34">
            <v>58315.54</v>
          </cell>
          <cell r="C34">
            <v>58315.54</v>
          </cell>
          <cell r="D34">
            <v>58315.54</v>
          </cell>
          <cell r="E34">
            <v>58315.54</v>
          </cell>
          <cell r="F34">
            <v>58315.54</v>
          </cell>
          <cell r="G34">
            <v>58315.54</v>
          </cell>
          <cell r="H34">
            <v>58315.54</v>
          </cell>
          <cell r="I34">
            <v>58315.54</v>
          </cell>
          <cell r="J34">
            <v>58315.54</v>
          </cell>
          <cell r="K34">
            <v>58315.54</v>
          </cell>
          <cell r="L34">
            <v>58315.54</v>
          </cell>
          <cell r="M34">
            <v>58315.54</v>
          </cell>
          <cell r="N34">
            <v>58315.54</v>
          </cell>
        </row>
        <row r="35">
          <cell r="B35">
            <v>19031329.030000001</v>
          </cell>
          <cell r="C35">
            <v>19052412.59</v>
          </cell>
          <cell r="D35">
            <v>19169992.27</v>
          </cell>
          <cell r="E35">
            <v>19240041.280000001</v>
          </cell>
          <cell r="F35">
            <v>19351589.530000001</v>
          </cell>
          <cell r="G35">
            <v>19405559.699999999</v>
          </cell>
          <cell r="H35">
            <v>19449233.699999999</v>
          </cell>
          <cell r="I35">
            <v>19513584.719999999</v>
          </cell>
          <cell r="J35">
            <v>19561773.300000001</v>
          </cell>
          <cell r="K35">
            <v>19601593.309999999</v>
          </cell>
          <cell r="L35">
            <v>19797159.969999999</v>
          </cell>
          <cell r="M35">
            <v>19857714.690000001</v>
          </cell>
          <cell r="N35">
            <v>19901204.640000001</v>
          </cell>
        </row>
        <row r="36">
          <cell r="B36">
            <v>3554657.03</v>
          </cell>
          <cell r="C36">
            <v>3622977.6</v>
          </cell>
          <cell r="D36">
            <v>3691298.17</v>
          </cell>
          <cell r="E36">
            <v>3759618.74</v>
          </cell>
          <cell r="F36">
            <v>3827939.3</v>
          </cell>
          <cell r="G36">
            <v>3896259.87</v>
          </cell>
          <cell r="H36">
            <v>3964580.44</v>
          </cell>
          <cell r="I36">
            <v>4032901.01</v>
          </cell>
          <cell r="J36">
            <v>4101221.58</v>
          </cell>
          <cell r="K36">
            <v>4169542.15</v>
          </cell>
          <cell r="L36">
            <v>4237862.72</v>
          </cell>
          <cell r="M36">
            <v>4306183.28</v>
          </cell>
          <cell r="N36">
            <v>4461548.42</v>
          </cell>
        </row>
        <row r="50">
          <cell r="B50">
            <v>3464485.53</v>
          </cell>
          <cell r="C50">
            <v>3939562.31</v>
          </cell>
          <cell r="D50">
            <v>3946668.28</v>
          </cell>
          <cell r="E50">
            <v>4217045.4000000004</v>
          </cell>
          <cell r="F50">
            <v>4486986.17</v>
          </cell>
          <cell r="G50">
            <v>4765855.67</v>
          </cell>
          <cell r="H50">
            <v>4599066.95</v>
          </cell>
          <cell r="I50">
            <v>4517457.55</v>
          </cell>
          <cell r="J50">
            <v>4299309.54</v>
          </cell>
          <cell r="K50">
            <v>4250989.3899999997</v>
          </cell>
        </row>
        <row r="51">
          <cell r="B51">
            <v>3566835</v>
          </cell>
          <cell r="C51">
            <v>3520370.56</v>
          </cell>
          <cell r="D51">
            <v>3671867.93</v>
          </cell>
          <cell r="E51">
            <v>3565415.54</v>
          </cell>
          <cell r="F51">
            <v>3717561.64</v>
          </cell>
          <cell r="G51">
            <v>3774053.3</v>
          </cell>
          <cell r="H51">
            <v>3826831.23</v>
          </cell>
          <cell r="I51">
            <v>3825603.02</v>
          </cell>
          <cell r="J51">
            <v>3730341.19</v>
          </cell>
          <cell r="K51">
            <v>3684170.33</v>
          </cell>
          <cell r="L51">
            <v>3663374.89</v>
          </cell>
          <cell r="M51">
            <v>3723581.93</v>
          </cell>
          <cell r="N51">
            <v>3579480.04</v>
          </cell>
        </row>
        <row r="52">
          <cell r="B52">
            <v>1156115.6000000001</v>
          </cell>
          <cell r="C52">
            <v>1138889.83</v>
          </cell>
          <cell r="D52">
            <v>1164497.42</v>
          </cell>
          <cell r="E52">
            <v>1187449.1100000001</v>
          </cell>
          <cell r="F52">
            <v>1235136.72</v>
          </cell>
          <cell r="G52">
            <v>1232497.03</v>
          </cell>
          <cell r="H52">
            <v>1324296.18</v>
          </cell>
          <cell r="I52">
            <v>1277144.3400000001</v>
          </cell>
          <cell r="J52">
            <v>1281546.51</v>
          </cell>
          <cell r="K52">
            <v>1294841.19</v>
          </cell>
          <cell r="L52">
            <v>1301743.18</v>
          </cell>
          <cell r="M52">
            <v>1308007.97</v>
          </cell>
          <cell r="N52">
            <v>1317616.93</v>
          </cell>
        </row>
        <row r="53">
          <cell r="B53">
            <v>4357759.07</v>
          </cell>
          <cell r="C53">
            <v>4341948.83</v>
          </cell>
          <cell r="D53">
            <v>4521424.12</v>
          </cell>
          <cell r="E53">
            <v>4597732.8599999994</v>
          </cell>
          <cell r="F53">
            <v>4710580.0699999994</v>
          </cell>
          <cell r="G53">
            <v>4860933.6199999992</v>
          </cell>
          <cell r="H53">
            <v>5205697.7</v>
          </cell>
          <cell r="I53">
            <v>5452135.5999999996</v>
          </cell>
          <cell r="J53">
            <v>5718166.7700000005</v>
          </cell>
          <cell r="K53">
            <v>5904248.5399999991</v>
          </cell>
          <cell r="L53">
            <v>6102448.330000001</v>
          </cell>
          <cell r="M53">
            <v>6198572.5200000005</v>
          </cell>
          <cell r="N53">
            <v>4873381.12</v>
          </cell>
        </row>
        <row r="62">
          <cell r="B62">
            <v>1288393.76</v>
          </cell>
          <cell r="C62">
            <v>1254890.53</v>
          </cell>
          <cell r="D62">
            <v>1251245.03</v>
          </cell>
          <cell r="E62">
            <v>1265504.1499999999</v>
          </cell>
          <cell r="F62">
            <v>1356429.4</v>
          </cell>
          <cell r="G62">
            <v>1296681.81</v>
          </cell>
          <cell r="H62">
            <v>1305826.43</v>
          </cell>
          <cell r="I62">
            <v>1359454.72</v>
          </cell>
          <cell r="J62">
            <v>1384824.08</v>
          </cell>
          <cell r="K62">
            <v>1409958.55</v>
          </cell>
          <cell r="L62">
            <v>1443159.77</v>
          </cell>
          <cell r="M62">
            <v>1328701.2</v>
          </cell>
          <cell r="N62">
            <v>1216194.4099999999</v>
          </cell>
        </row>
        <row r="63"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>
            <v>538184.61</v>
          </cell>
          <cell r="C64">
            <v>642268.73</v>
          </cell>
          <cell r="D64">
            <v>577220.13</v>
          </cell>
          <cell r="E64">
            <v>627900.4</v>
          </cell>
          <cell r="F64">
            <v>627601.54</v>
          </cell>
          <cell r="G64">
            <v>663737.80000000005</v>
          </cell>
          <cell r="H64">
            <v>503416.21</v>
          </cell>
          <cell r="I64">
            <v>460699.31</v>
          </cell>
          <cell r="J64">
            <v>476483.92</v>
          </cell>
          <cell r="K64">
            <v>488878.96</v>
          </cell>
          <cell r="L64">
            <v>662566.93999999994</v>
          </cell>
          <cell r="M64">
            <v>735714.23</v>
          </cell>
          <cell r="N64">
            <v>640906.39</v>
          </cell>
        </row>
        <row r="71">
          <cell r="B71">
            <v>1813559.29</v>
          </cell>
          <cell r="C71">
            <v>1813559.29</v>
          </cell>
          <cell r="D71">
            <v>1813559.29</v>
          </cell>
          <cell r="E71">
            <v>1813559.29</v>
          </cell>
          <cell r="F71">
            <v>1813559.29</v>
          </cell>
          <cell r="G71">
            <v>1813559.29</v>
          </cell>
          <cell r="H71">
            <v>1813559.29</v>
          </cell>
          <cell r="I71">
            <v>1953559.29</v>
          </cell>
          <cell r="J71">
            <v>1953559.29</v>
          </cell>
          <cell r="K71">
            <v>1953559.29</v>
          </cell>
        </row>
        <row r="72">
          <cell r="B72">
            <v>5014066.28</v>
          </cell>
          <cell r="C72">
            <v>5014066.28</v>
          </cell>
          <cell r="D72">
            <v>5014066.28</v>
          </cell>
          <cell r="E72">
            <v>5014066.28</v>
          </cell>
          <cell r="F72">
            <v>5014066.28</v>
          </cell>
          <cell r="G72">
            <v>5014066.28</v>
          </cell>
          <cell r="H72">
            <v>5014066.28</v>
          </cell>
          <cell r="I72">
            <v>5014066.28</v>
          </cell>
          <cell r="J72">
            <v>5014066.28</v>
          </cell>
          <cell r="K72">
            <v>5014066.28</v>
          </cell>
        </row>
        <row r="81"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</row>
        <row r="88">
          <cell r="N88">
            <v>851131.36999999394</v>
          </cell>
        </row>
        <row r="100">
          <cell r="C100">
            <v>3150442.6</v>
          </cell>
          <cell r="D100">
            <v>3193678.4900000007</v>
          </cell>
          <cell r="E100">
            <v>2982255.1100000003</v>
          </cell>
          <cell r="F100">
            <v>3351682.2399999984</v>
          </cell>
          <cell r="G100">
            <v>3513003.5700000003</v>
          </cell>
          <cell r="H100">
            <v>3918967.8699999955</v>
          </cell>
          <cell r="I100">
            <v>3442669.6700000018</v>
          </cell>
          <cell r="J100">
            <v>3609699.5500000045</v>
          </cell>
          <cell r="K100">
            <v>3381944.1999999955</v>
          </cell>
          <cell r="L100">
            <v>3631436.0900000036</v>
          </cell>
          <cell r="M100">
            <v>3458744.7099999934</v>
          </cell>
          <cell r="N100">
            <v>3685075.5200000033</v>
          </cell>
        </row>
        <row r="109">
          <cell r="C109">
            <v>-237.09</v>
          </cell>
          <cell r="D109">
            <v>0</v>
          </cell>
          <cell r="E109">
            <v>-5542.18</v>
          </cell>
          <cell r="F109">
            <v>-1388.3599999999997</v>
          </cell>
          <cell r="G109">
            <v>-12</v>
          </cell>
          <cell r="H109">
            <v>-15184.259999999998</v>
          </cell>
          <cell r="I109">
            <v>-3999.8500000000022</v>
          </cell>
          <cell r="J109">
            <v>-6250.989999999998</v>
          </cell>
          <cell r="K109">
            <v>-9622.2599999999984</v>
          </cell>
          <cell r="L109">
            <v>-12245.490000000005</v>
          </cell>
          <cell r="M109">
            <v>-5253.3999999999942</v>
          </cell>
          <cell r="N109">
            <v>-3427.8199999999997</v>
          </cell>
        </row>
        <row r="115">
          <cell r="C115">
            <v>1268441.6499999999</v>
          </cell>
          <cell r="D115">
            <v>1268774.8600000003</v>
          </cell>
          <cell r="E115">
            <v>1335386.7599999998</v>
          </cell>
          <cell r="F115">
            <v>1354767.2200000002</v>
          </cell>
          <cell r="G115">
            <v>1340386.3699999992</v>
          </cell>
          <cell r="H115">
            <v>1513573.8600000013</v>
          </cell>
          <cell r="I115">
            <v>1380427.6899999995</v>
          </cell>
          <cell r="J115">
            <v>1386110.4000000004</v>
          </cell>
          <cell r="K115">
            <v>1384219.3499999996</v>
          </cell>
          <cell r="L115">
            <v>1414036.6100000013</v>
          </cell>
          <cell r="M115">
            <v>1344969.4499999993</v>
          </cell>
          <cell r="N115">
            <v>1503791.33</v>
          </cell>
        </row>
        <row r="118">
          <cell r="C118">
            <v>1139109.5699999998</v>
          </cell>
          <cell r="D118">
            <v>1070469.73</v>
          </cell>
          <cell r="E118">
            <v>1085651.33</v>
          </cell>
          <cell r="F118">
            <v>1156998.2999999998</v>
          </cell>
          <cell r="G118">
            <v>1244131.9600000009</v>
          </cell>
          <cell r="H118">
            <v>1170173.9099999992</v>
          </cell>
          <cell r="I118">
            <v>1178090.3200000003</v>
          </cell>
          <cell r="J118">
            <v>1219028.8400000008</v>
          </cell>
          <cell r="K118">
            <v>1151687.92</v>
          </cell>
          <cell r="L118">
            <v>1177178.8499999996</v>
          </cell>
          <cell r="M118">
            <v>1244044.4699999988</v>
          </cell>
          <cell r="N118">
            <v>1237438.8500000015</v>
          </cell>
        </row>
        <row r="121">
          <cell r="C121">
            <v>593904.05000000005</v>
          </cell>
          <cell r="D121">
            <v>627156.43999999994</v>
          </cell>
          <cell r="E121">
            <v>612842.8600000001</v>
          </cell>
          <cell r="F121">
            <v>743237.54</v>
          </cell>
          <cell r="G121">
            <v>831742.79999999981</v>
          </cell>
          <cell r="H121">
            <v>770869.35000000009</v>
          </cell>
          <cell r="I121">
            <v>821369.88999999966</v>
          </cell>
          <cell r="J121">
            <v>726731.79</v>
          </cell>
          <cell r="K121">
            <v>656562.36000000034</v>
          </cell>
          <cell r="L121">
            <v>701344.08999999985</v>
          </cell>
          <cell r="M121">
            <v>684841.1799999997</v>
          </cell>
          <cell r="N121">
            <v>631731.62000000104</v>
          </cell>
        </row>
        <row r="122">
          <cell r="C122">
            <v>95670.26</v>
          </cell>
          <cell r="D122">
            <v>85593.380000000019</v>
          </cell>
          <cell r="E122">
            <v>92616.890000000014</v>
          </cell>
          <cell r="F122">
            <v>115382.18</v>
          </cell>
          <cell r="G122">
            <v>106262.79999999999</v>
          </cell>
          <cell r="H122">
            <v>108742.72999999998</v>
          </cell>
          <cell r="I122">
            <v>129899.37</v>
          </cell>
          <cell r="J122">
            <v>109218.46999999997</v>
          </cell>
          <cell r="K122">
            <v>124921.13</v>
          </cell>
          <cell r="L122">
            <v>115504.03000000003</v>
          </cell>
          <cell r="M122">
            <v>110430.75</v>
          </cell>
          <cell r="N122">
            <v>104012.59000000008</v>
          </cell>
        </row>
        <row r="123">
          <cell r="C123">
            <v>20645.84</v>
          </cell>
          <cell r="D123">
            <v>14730.920000000002</v>
          </cell>
          <cell r="E123">
            <v>14584.059999999998</v>
          </cell>
          <cell r="F123">
            <v>39031.579999999994</v>
          </cell>
          <cell r="G123">
            <v>57507.040000000008</v>
          </cell>
          <cell r="H123">
            <v>34788.200000000012</v>
          </cell>
          <cell r="I123">
            <v>14987.659999999974</v>
          </cell>
          <cell r="J123">
            <v>20253.49000000002</v>
          </cell>
          <cell r="K123">
            <v>26588.539999999979</v>
          </cell>
          <cell r="L123">
            <v>31928.200000000041</v>
          </cell>
          <cell r="M123">
            <v>26916.979999999981</v>
          </cell>
          <cell r="N123">
            <v>37790.520000000019</v>
          </cell>
        </row>
        <row r="124">
          <cell r="C124">
            <v>216775.9</v>
          </cell>
          <cell r="D124">
            <v>214907.90999999995</v>
          </cell>
          <cell r="E124">
            <v>207545.38</v>
          </cell>
          <cell r="F124">
            <v>211637.31000000017</v>
          </cell>
          <cell r="G124">
            <v>195000.32999999996</v>
          </cell>
          <cell r="H124">
            <v>181878.11999999988</v>
          </cell>
          <cell r="I124">
            <v>209833.75</v>
          </cell>
          <cell r="J124">
            <v>201680.70999999996</v>
          </cell>
          <cell r="K124">
            <v>218398.46999999997</v>
          </cell>
          <cell r="L124">
            <v>210200.26</v>
          </cell>
          <cell r="M124">
            <v>207219.92000000016</v>
          </cell>
          <cell r="N124">
            <v>295002.18999999994</v>
          </cell>
        </row>
        <row r="133">
          <cell r="C133">
            <v>153786.07999999999</v>
          </cell>
          <cell r="D133">
            <v>214214.97</v>
          </cell>
          <cell r="E133">
            <v>920508.60999999987</v>
          </cell>
          <cell r="F133">
            <v>166535.53000000003</v>
          </cell>
          <cell r="G133">
            <v>619185.33999999985</v>
          </cell>
          <cell r="H133">
            <v>248819.0700000003</v>
          </cell>
          <cell r="I133">
            <v>172717.89999999991</v>
          </cell>
          <cell r="J133">
            <v>169023.64999999991</v>
          </cell>
          <cell r="K133">
            <v>170592.58000000007</v>
          </cell>
          <cell r="L133">
            <v>236914.93000000017</v>
          </cell>
          <cell r="M133">
            <v>1377177.7699999996</v>
          </cell>
          <cell r="N133">
            <v>1227728.3499999996</v>
          </cell>
        </row>
        <row r="138">
          <cell r="C138">
            <v>0</v>
          </cell>
          <cell r="D138">
            <v>0</v>
          </cell>
          <cell r="E138">
            <v>0</v>
          </cell>
          <cell r="F138">
            <v>13471.69</v>
          </cell>
          <cell r="G138">
            <v>221.26999999999862</v>
          </cell>
          <cell r="H138">
            <v>221.27000000000044</v>
          </cell>
          <cell r="I138">
            <v>-1278.7299999999996</v>
          </cell>
          <cell r="J138">
            <v>920.96999999999935</v>
          </cell>
          <cell r="K138">
            <v>221.27000000000044</v>
          </cell>
          <cell r="L138">
            <v>221.27000000000044</v>
          </cell>
          <cell r="M138">
            <v>221.27000000000044</v>
          </cell>
          <cell r="N138">
            <v>20460.36</v>
          </cell>
        </row>
        <row r="141">
          <cell r="C141">
            <v>199407.79</v>
          </cell>
          <cell r="D141">
            <v>221553.48</v>
          </cell>
          <cell r="E141">
            <v>232755.37</v>
          </cell>
          <cell r="F141">
            <v>228991.51</v>
          </cell>
          <cell r="G141">
            <v>224807.49999999988</v>
          </cell>
          <cell r="H141">
            <v>287597.37000000011</v>
          </cell>
          <cell r="I141">
            <v>248939.41999999993</v>
          </cell>
          <cell r="J141">
            <v>228105.66000000015</v>
          </cell>
          <cell r="K141">
            <v>218205.83999999985</v>
          </cell>
          <cell r="L141">
            <v>224393.74000000022</v>
          </cell>
          <cell r="M141">
            <v>510619.38999999966</v>
          </cell>
          <cell r="N141">
            <v>414707.36000000034</v>
          </cell>
        </row>
        <row r="143">
          <cell r="C143">
            <v>2547.3000000000002</v>
          </cell>
          <cell r="D143">
            <v>3308.8599999999997</v>
          </cell>
          <cell r="E143">
            <v>5871.8700000000008</v>
          </cell>
          <cell r="F143">
            <v>11325.06</v>
          </cell>
          <cell r="G143">
            <v>11396.84</v>
          </cell>
          <cell r="H143">
            <v>227440.26</v>
          </cell>
          <cell r="I143">
            <v>14342.099999999977</v>
          </cell>
          <cell r="J143">
            <v>7913.960000000021</v>
          </cell>
          <cell r="K143">
            <v>7085.820000000007</v>
          </cell>
          <cell r="L143">
            <v>5914.6699999999837</v>
          </cell>
          <cell r="M143">
            <v>3439.7399999999907</v>
          </cell>
          <cell r="N143">
            <v>7640.9100000000326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 refreshError="1"/>
      <sheetData sheetId="1" refreshError="1"/>
      <sheetData sheetId="2" refreshError="1">
        <row r="21">
          <cell r="F21">
            <v>4077300.91946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 subvenções - jocelio"/>
      <sheetName val="subvenções balanço"/>
      <sheetName val="planilha empréstimos"/>
      <sheetName val="Plan1"/>
      <sheetName val="SALDO TRIBUTOS"/>
      <sheetName val="Plan2"/>
      <sheetName val="balanço e dre "/>
      <sheetName val="demonst de origens e recursos"/>
      <sheetName val="fluxo de caixa"/>
      <sheetName val="valor adicionado"/>
      <sheetName val="demost.de mutações do PL.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F7">
            <v>13323478.149999997</v>
          </cell>
        </row>
        <row r="34">
          <cell r="F34">
            <v>733467.08000000007</v>
          </cell>
          <cell r="H34">
            <v>686360.61</v>
          </cell>
        </row>
        <row r="38">
          <cell r="F38">
            <v>58315.54</v>
          </cell>
          <cell r="H38">
            <v>58315.54</v>
          </cell>
        </row>
        <row r="41">
          <cell r="F41">
            <v>19834054.540000003</v>
          </cell>
          <cell r="H41">
            <v>18964178.93</v>
          </cell>
        </row>
        <row r="58">
          <cell r="F58">
            <v>67150.100000000006</v>
          </cell>
          <cell r="H58">
            <v>67150.100000000006</v>
          </cell>
        </row>
        <row r="62">
          <cell r="F62">
            <v>-4461548.42</v>
          </cell>
          <cell r="H62">
            <v>-3554657.03</v>
          </cell>
        </row>
        <row r="88">
          <cell r="F88">
            <v>16323157.18</v>
          </cell>
        </row>
        <row r="100">
          <cell r="F100">
            <v>11073910.08</v>
          </cell>
          <cell r="H100">
            <v>10558358.84</v>
          </cell>
        </row>
        <row r="106">
          <cell r="H106">
            <v>1964874.45</v>
          </cell>
        </row>
        <row r="107">
          <cell r="H107">
            <v>-658156.09000000707</v>
          </cell>
        </row>
        <row r="186">
          <cell r="F186">
            <v>41256435.559999995</v>
          </cell>
        </row>
        <row r="188">
          <cell r="F188">
            <v>16494885.550000001</v>
          </cell>
        </row>
        <row r="191">
          <cell r="F191">
            <v>14074004.050000001</v>
          </cell>
        </row>
        <row r="194">
          <cell r="F194">
            <v>8402333.9700000007</v>
          </cell>
        </row>
        <row r="195">
          <cell r="F195">
            <v>1298254.58</v>
          </cell>
        </row>
        <row r="196">
          <cell r="F196">
            <v>339753.03</v>
          </cell>
        </row>
        <row r="197">
          <cell r="F197">
            <v>2570080.2500000005</v>
          </cell>
        </row>
        <row r="203">
          <cell r="F203">
            <v>13892.74</v>
          </cell>
        </row>
        <row r="207">
          <cell r="F207">
            <v>5677205.1399999997</v>
          </cell>
        </row>
        <row r="216">
          <cell r="F216">
            <v>34680.639999999999</v>
          </cell>
        </row>
        <row r="219">
          <cell r="F219">
            <v>3240084.43</v>
          </cell>
        </row>
        <row r="221">
          <cell r="F221">
            <v>308227.39</v>
          </cell>
        </row>
        <row r="222">
          <cell r="F222">
            <v>787791.58999999519</v>
          </cell>
        </row>
      </sheetData>
      <sheetData sheetId="7">
        <row r="11">
          <cell r="G11">
            <v>63339.78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I230"/>
  <sheetViews>
    <sheetView tabSelected="1" workbookViewId="0">
      <selection activeCell="N25" sqref="N25"/>
    </sheetView>
  </sheetViews>
  <sheetFormatPr defaultRowHeight="15" x14ac:dyDescent="0.25"/>
  <cols>
    <col min="6" max="6" width="15.7109375" bestFit="1" customWidth="1"/>
    <col min="7" max="7" width="7.7109375" bestFit="1" customWidth="1"/>
    <col min="8" max="8" width="15.7109375" bestFit="1" customWidth="1"/>
    <col min="9" max="9" width="7.7109375" bestFit="1" customWidth="1"/>
  </cols>
  <sheetData>
    <row r="1" spans="1:9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x14ac:dyDescent="0.25">
      <c r="A3" s="3"/>
      <c r="B3" s="3"/>
      <c r="C3" s="3"/>
      <c r="D3" s="3"/>
      <c r="E3" s="3"/>
      <c r="F3" s="3"/>
      <c r="G3" s="3"/>
      <c r="H3" s="3"/>
      <c r="I3" s="3"/>
    </row>
    <row r="4" spans="1:9" ht="15.75" x14ac:dyDescent="0.25">
      <c r="A4" s="4" t="s">
        <v>2</v>
      </c>
      <c r="B4" s="4"/>
      <c r="C4" s="4"/>
      <c r="D4" s="4"/>
      <c r="E4" s="4"/>
      <c r="F4" s="4"/>
      <c r="G4" s="4"/>
      <c r="H4" s="4"/>
      <c r="I4" s="4"/>
    </row>
    <row r="5" spans="1:9" ht="15.75" x14ac:dyDescent="0.25">
      <c r="A5" s="5"/>
      <c r="B5" s="5"/>
      <c r="C5" s="5"/>
      <c r="D5" s="5"/>
      <c r="E5" s="5"/>
      <c r="F5" s="5"/>
      <c r="G5" s="5"/>
      <c r="H5" s="5"/>
      <c r="I5" s="5"/>
    </row>
    <row r="6" spans="1:9" x14ac:dyDescent="0.25">
      <c r="A6" s="6" t="s">
        <v>3</v>
      </c>
      <c r="B6" s="6"/>
      <c r="C6" s="6"/>
      <c r="D6" s="6"/>
      <c r="E6" s="6"/>
      <c r="F6" s="7">
        <v>43830</v>
      </c>
      <c r="G6" s="8" t="s">
        <v>4</v>
      </c>
      <c r="H6" s="7">
        <v>43465</v>
      </c>
      <c r="I6" s="8" t="s">
        <v>4</v>
      </c>
    </row>
    <row r="7" spans="1:9" ht="19.5" x14ac:dyDescent="0.55000000000000004">
      <c r="A7" s="9" t="s">
        <v>5</v>
      </c>
      <c r="B7" s="9"/>
      <c r="C7" s="9"/>
      <c r="D7" s="9"/>
      <c r="E7" s="10"/>
      <c r="F7" s="11">
        <f>SUM(F8,F13,F23)+F31</f>
        <v>13323478.149999997</v>
      </c>
      <c r="G7" s="8">
        <f>F7/F63*100</f>
        <v>45.080411339027059</v>
      </c>
      <c r="H7" s="11">
        <v>10015502.620000001</v>
      </c>
      <c r="I7" s="8">
        <f>H7/H63*100</f>
        <v>38.173417639940325</v>
      </c>
    </row>
    <row r="8" spans="1:9" x14ac:dyDescent="0.25">
      <c r="A8" s="12"/>
      <c r="B8" s="12" t="s">
        <v>6</v>
      </c>
      <c r="C8" s="12"/>
      <c r="D8" s="12"/>
      <c r="E8" s="13"/>
      <c r="F8" s="12">
        <f>F9+F10+F12+F11</f>
        <v>2702359.29</v>
      </c>
      <c r="G8" s="14">
        <f>F8/F63*100</f>
        <v>9.1435184572311652</v>
      </c>
      <c r="H8" s="12">
        <v>1764745.93</v>
      </c>
      <c r="I8" s="14">
        <f>H8/H63*100</f>
        <v>6.7262109521843332</v>
      </c>
    </row>
    <row r="9" spans="1:9" x14ac:dyDescent="0.25">
      <c r="A9" s="15"/>
      <c r="B9" s="15"/>
      <c r="C9" s="15" t="s">
        <v>7</v>
      </c>
      <c r="D9" s="15"/>
      <c r="E9" s="3"/>
      <c r="F9" s="16">
        <v>100534.39</v>
      </c>
      <c r="G9" s="15"/>
      <c r="H9" s="16">
        <v>66696.62</v>
      </c>
      <c r="I9" s="15"/>
    </row>
    <row r="10" spans="1:9" x14ac:dyDescent="0.25">
      <c r="A10" s="15"/>
      <c r="B10" s="15"/>
      <c r="C10" s="15" t="s">
        <v>8</v>
      </c>
      <c r="D10" s="15"/>
      <c r="E10" s="3"/>
      <c r="F10" s="16">
        <f>1056820.38-750670</f>
        <v>306150.37999999989</v>
      </c>
      <c r="G10" s="15"/>
      <c r="H10" s="16">
        <v>259472.68</v>
      </c>
      <c r="I10" s="15"/>
    </row>
    <row r="11" spans="1:9" x14ac:dyDescent="0.25">
      <c r="A11" s="15"/>
      <c r="B11" s="15"/>
      <c r="C11" s="15" t="s">
        <v>9</v>
      </c>
      <c r="D11" s="15"/>
      <c r="E11" s="3"/>
      <c r="F11" s="16">
        <v>750670</v>
      </c>
      <c r="G11" s="15"/>
      <c r="H11" s="16">
        <v>750670</v>
      </c>
      <c r="I11" s="15"/>
    </row>
    <row r="12" spans="1:9" x14ac:dyDescent="0.25">
      <c r="A12" s="15"/>
      <c r="B12" s="15"/>
      <c r="C12" s="15" t="s">
        <v>10</v>
      </c>
      <c r="D12" s="15"/>
      <c r="E12" s="3"/>
      <c r="F12" s="16">
        <v>1545004.52</v>
      </c>
      <c r="G12" s="15"/>
      <c r="H12" s="16">
        <v>687906.63</v>
      </c>
      <c r="I12" s="15"/>
    </row>
    <row r="13" spans="1:9" x14ac:dyDescent="0.25">
      <c r="A13" s="17"/>
      <c r="B13" s="17" t="s">
        <v>11</v>
      </c>
      <c r="C13" s="17"/>
      <c r="D13" s="17"/>
      <c r="E13" s="18"/>
      <c r="F13" s="12">
        <f>SUM(F14:F22)</f>
        <v>9524703.4599999972</v>
      </c>
      <c r="G13" s="8">
        <f>F13/F63*100</f>
        <v>32.227136564865702</v>
      </c>
      <c r="H13" s="12">
        <v>7308020.4700000007</v>
      </c>
      <c r="I13" s="8">
        <f>H13/H63*100</f>
        <v>27.854030706902556</v>
      </c>
    </row>
    <row r="14" spans="1:9" x14ac:dyDescent="0.25">
      <c r="A14" s="15"/>
      <c r="B14" s="15"/>
      <c r="C14" s="15" t="s">
        <v>12</v>
      </c>
      <c r="D14" s="15"/>
      <c r="E14" s="3"/>
      <c r="F14" s="16">
        <v>462394.23</v>
      </c>
      <c r="G14" s="15"/>
      <c r="H14" s="16">
        <v>421224.49</v>
      </c>
      <c r="I14" s="15"/>
    </row>
    <row r="15" spans="1:9" x14ac:dyDescent="0.25">
      <c r="A15" s="15"/>
      <c r="B15" s="15"/>
      <c r="C15" s="15" t="s">
        <v>13</v>
      </c>
      <c r="D15" s="15"/>
      <c r="E15" s="3"/>
      <c r="F15" s="16">
        <v>64000.35</v>
      </c>
      <c r="G15" s="15"/>
      <c r="H15" s="16">
        <v>50745.55</v>
      </c>
      <c r="I15" s="15"/>
    </row>
    <row r="16" spans="1:9" x14ac:dyDescent="0.25">
      <c r="A16" s="15"/>
      <c r="B16" s="15"/>
      <c r="C16" s="15" t="s">
        <v>14</v>
      </c>
      <c r="D16" s="15"/>
      <c r="E16" s="3"/>
      <c r="F16" s="16">
        <v>15074.1</v>
      </c>
      <c r="G16" s="15"/>
      <c r="H16" s="16">
        <v>8668.9599999999991</v>
      </c>
      <c r="I16" s="15"/>
    </row>
    <row r="17" spans="1:9" x14ac:dyDescent="0.25">
      <c r="A17" s="15"/>
      <c r="B17" s="15"/>
      <c r="C17" s="15" t="s">
        <v>15</v>
      </c>
      <c r="D17" s="15"/>
      <c r="E17" s="3"/>
      <c r="F17" s="16">
        <f>2473854.19-64000.35</f>
        <v>2409853.84</v>
      </c>
      <c r="G17" s="15"/>
      <c r="H17" s="16">
        <v>1880986.53</v>
      </c>
      <c r="I17" s="15"/>
    </row>
    <row r="18" spans="1:9" x14ac:dyDescent="0.25">
      <c r="A18" s="15"/>
      <c r="B18" s="15"/>
      <c r="C18" s="15" t="s">
        <v>16</v>
      </c>
      <c r="D18" s="15"/>
      <c r="E18" s="3"/>
      <c r="F18" s="16">
        <v>3992099.53</v>
      </c>
      <c r="G18" s="15"/>
      <c r="H18" s="16">
        <v>3191541.75</v>
      </c>
      <c r="I18" s="15"/>
    </row>
    <row r="19" spans="1:9" x14ac:dyDescent="0.25">
      <c r="A19" s="15"/>
      <c r="B19" s="15"/>
      <c r="C19" s="15" t="s">
        <v>17</v>
      </c>
      <c r="D19" s="15"/>
      <c r="E19" s="3"/>
      <c r="F19" s="16">
        <v>1980591.62</v>
      </c>
      <c r="G19" s="15"/>
      <c r="H19" s="16">
        <v>1404662.62</v>
      </c>
      <c r="I19" s="15"/>
    </row>
    <row r="20" spans="1:9" x14ac:dyDescent="0.25">
      <c r="A20" s="15"/>
      <c r="B20" s="15"/>
      <c r="C20" s="15" t="s">
        <v>18</v>
      </c>
      <c r="D20" s="15"/>
      <c r="E20" s="3"/>
      <c r="F20" s="16">
        <v>573813.02</v>
      </c>
      <c r="G20" s="15"/>
      <c r="H20" s="16">
        <v>17317.189999999999</v>
      </c>
      <c r="I20" s="15"/>
    </row>
    <row r="21" spans="1:9" x14ac:dyDescent="0.25">
      <c r="A21" s="15"/>
      <c r="B21" s="15"/>
      <c r="C21" s="15" t="s">
        <v>19</v>
      </c>
      <c r="D21" s="15"/>
      <c r="E21" s="3"/>
      <c r="F21" s="16">
        <v>0</v>
      </c>
      <c r="G21" s="15"/>
      <c r="H21" s="16">
        <v>312322.92</v>
      </c>
      <c r="I21" s="15"/>
    </row>
    <row r="22" spans="1:9" x14ac:dyDescent="0.25">
      <c r="A22" s="15"/>
      <c r="B22" s="15"/>
      <c r="C22" s="15" t="s">
        <v>20</v>
      </c>
      <c r="D22" s="15"/>
      <c r="E22" s="3"/>
      <c r="F22" s="16">
        <v>26876.77</v>
      </c>
      <c r="G22" s="15"/>
      <c r="H22" s="16">
        <v>20550.46</v>
      </c>
      <c r="I22" s="15"/>
    </row>
    <row r="23" spans="1:9" x14ac:dyDescent="0.25">
      <c r="A23" s="17"/>
      <c r="B23" s="17" t="s">
        <v>21</v>
      </c>
      <c r="C23" s="17"/>
      <c r="D23" s="17"/>
      <c r="E23" s="18"/>
      <c r="F23" s="12">
        <f>SUM(F24:F30)</f>
        <v>1096415.3999999999</v>
      </c>
      <c r="G23" s="8">
        <f>F23/F63*100</f>
        <v>3.7097563169301928</v>
      </c>
      <c r="H23" s="12">
        <v>916991.06</v>
      </c>
      <c r="I23" s="8">
        <f>H23/H63*100</f>
        <v>3.4950500273017324</v>
      </c>
    </row>
    <row r="24" spans="1:9" x14ac:dyDescent="0.25">
      <c r="A24" s="15"/>
      <c r="B24" s="15"/>
      <c r="C24" s="15" t="s">
        <v>22</v>
      </c>
      <c r="D24" s="15"/>
      <c r="E24" s="3"/>
      <c r="F24" s="16">
        <v>923414.94</v>
      </c>
      <c r="G24" s="15"/>
      <c r="H24" s="16">
        <v>779290.19</v>
      </c>
      <c r="I24" s="15"/>
    </row>
    <row r="25" spans="1:9" x14ac:dyDescent="0.25">
      <c r="A25" s="15"/>
      <c r="B25" s="15"/>
      <c r="C25" s="15" t="s">
        <v>23</v>
      </c>
      <c r="D25" s="15"/>
      <c r="E25" s="3"/>
      <c r="F25" s="16">
        <v>47463.91</v>
      </c>
      <c r="G25" s="15"/>
      <c r="H25" s="16">
        <v>37172.629999999997</v>
      </c>
      <c r="I25" s="15"/>
    </row>
    <row r="26" spans="1:9" x14ac:dyDescent="0.25">
      <c r="A26" s="15"/>
      <c r="B26" s="15"/>
      <c r="C26" s="15" t="s">
        <v>24</v>
      </c>
      <c r="D26" s="15"/>
      <c r="E26" s="3"/>
      <c r="F26" s="16">
        <v>33827.120000000003</v>
      </c>
      <c r="G26" s="15"/>
      <c r="H26" s="16">
        <v>17334</v>
      </c>
      <c r="I26" s="15"/>
    </row>
    <row r="27" spans="1:9" x14ac:dyDescent="0.25">
      <c r="A27" s="15"/>
      <c r="B27" s="15"/>
      <c r="C27" s="15" t="s">
        <v>25</v>
      </c>
      <c r="D27" s="15"/>
      <c r="E27" s="3"/>
      <c r="F27" s="16">
        <v>9632.5499999999993</v>
      </c>
      <c r="G27" s="15"/>
      <c r="H27" s="16">
        <v>3021.95</v>
      </c>
      <c r="I27" s="15"/>
    </row>
    <row r="28" spans="1:9" x14ac:dyDescent="0.25">
      <c r="A28" s="15"/>
      <c r="B28" s="15"/>
      <c r="C28" s="15" t="s">
        <v>26</v>
      </c>
      <c r="D28" s="15"/>
      <c r="E28" s="3"/>
      <c r="F28" s="16">
        <v>16355.64</v>
      </c>
      <c r="G28" s="15"/>
      <c r="H28" s="16">
        <v>22095.84</v>
      </c>
      <c r="I28" s="15"/>
    </row>
    <row r="29" spans="1:9" x14ac:dyDescent="0.25">
      <c r="A29" s="15"/>
      <c r="B29" s="15"/>
      <c r="C29" s="15" t="s">
        <v>27</v>
      </c>
      <c r="D29" s="15"/>
      <c r="E29" s="3"/>
      <c r="F29" s="16">
        <v>16789.48</v>
      </c>
      <c r="G29" s="15"/>
      <c r="H29" s="16">
        <v>13762.1</v>
      </c>
      <c r="I29" s="15"/>
    </row>
    <row r="30" spans="1:9" x14ac:dyDescent="0.25">
      <c r="A30" s="15"/>
      <c r="B30" s="15"/>
      <c r="C30" s="15" t="s">
        <v>28</v>
      </c>
      <c r="D30" s="15"/>
      <c r="E30" s="3"/>
      <c r="F30" s="16">
        <v>48931.76</v>
      </c>
      <c r="G30" s="15"/>
      <c r="H30" s="16">
        <v>44314.35</v>
      </c>
      <c r="I30" s="15"/>
    </row>
    <row r="31" spans="1:9" x14ac:dyDescent="0.25">
      <c r="A31" s="15"/>
      <c r="B31" s="17" t="s">
        <v>29</v>
      </c>
      <c r="C31" s="15"/>
      <c r="D31" s="15"/>
      <c r="E31" s="3"/>
      <c r="F31" s="12">
        <f>F32</f>
        <v>0</v>
      </c>
      <c r="G31" s="15"/>
      <c r="H31" s="12">
        <v>25745.16</v>
      </c>
      <c r="I31" s="15"/>
    </row>
    <row r="32" spans="1:9" x14ac:dyDescent="0.25">
      <c r="A32" s="15"/>
      <c r="B32" s="17"/>
      <c r="C32" s="15" t="s">
        <v>30</v>
      </c>
      <c r="D32" s="15"/>
      <c r="E32" s="3"/>
      <c r="F32" s="16">
        <v>0</v>
      </c>
      <c r="G32" s="15"/>
      <c r="H32" s="16">
        <v>25745.16</v>
      </c>
      <c r="I32" s="15"/>
    </row>
    <row r="33" spans="1:9" ht="19.5" x14ac:dyDescent="0.55000000000000004">
      <c r="A33" s="9" t="s">
        <v>31</v>
      </c>
      <c r="B33" s="9"/>
      <c r="C33" s="9"/>
      <c r="D33" s="9"/>
      <c r="E33" s="10"/>
      <c r="F33" s="19">
        <f>F34+F38+F41+F58+F62</f>
        <v>16231438.840000005</v>
      </c>
      <c r="G33" s="8">
        <f>F33/F63*100</f>
        <v>54.919588660972941</v>
      </c>
      <c r="H33" s="19">
        <v>16221348.15</v>
      </c>
      <c r="I33" s="8">
        <f>H33/H63*100</f>
        <v>61.826582360059668</v>
      </c>
    </row>
    <row r="34" spans="1:9" ht="19.5" x14ac:dyDescent="0.55000000000000004">
      <c r="A34" s="9"/>
      <c r="B34" s="17" t="s">
        <v>32</v>
      </c>
      <c r="C34" s="9"/>
      <c r="D34" s="9"/>
      <c r="E34" s="10"/>
      <c r="F34" s="19">
        <f>F36+F37+F35</f>
        <v>733467.08000000007</v>
      </c>
      <c r="G34" s="8"/>
      <c r="H34" s="19">
        <v>686360.61</v>
      </c>
      <c r="I34" s="8"/>
    </row>
    <row r="35" spans="1:9" x14ac:dyDescent="0.25">
      <c r="A35" s="15"/>
      <c r="B35" s="15"/>
      <c r="C35" s="15" t="s">
        <v>33</v>
      </c>
      <c r="D35" s="15"/>
      <c r="E35" s="3"/>
      <c r="F35" s="16">
        <v>2031.92</v>
      </c>
      <c r="G35" s="15"/>
      <c r="H35" s="16">
        <v>1090.73</v>
      </c>
      <c r="I35" s="15"/>
    </row>
    <row r="36" spans="1:9" x14ac:dyDescent="0.25">
      <c r="A36" s="15"/>
      <c r="B36" s="15"/>
      <c r="C36" s="15" t="s">
        <v>34</v>
      </c>
      <c r="D36" s="15"/>
      <c r="E36" s="3"/>
      <c r="F36" s="16">
        <v>731435.16</v>
      </c>
      <c r="G36" s="15"/>
      <c r="H36" s="16">
        <v>685269.88</v>
      </c>
      <c r="I36" s="15"/>
    </row>
    <row r="37" spans="1:9" x14ac:dyDescent="0.25">
      <c r="A37" s="15"/>
      <c r="B37" s="15"/>
      <c r="C37" s="15" t="s">
        <v>35</v>
      </c>
      <c r="D37" s="15"/>
      <c r="E37" s="3"/>
      <c r="F37" s="16">
        <v>0</v>
      </c>
      <c r="G37" s="15"/>
      <c r="H37" s="16">
        <v>0</v>
      </c>
      <c r="I37" s="15"/>
    </row>
    <row r="38" spans="1:9" x14ac:dyDescent="0.25">
      <c r="A38" s="17"/>
      <c r="B38" s="17" t="s">
        <v>36</v>
      </c>
      <c r="C38" s="17"/>
      <c r="D38" s="17"/>
      <c r="E38" s="18"/>
      <c r="F38" s="12">
        <f>SUM(F39:F40)</f>
        <v>58315.54</v>
      </c>
      <c r="G38" s="15"/>
      <c r="H38" s="12">
        <v>58315.54</v>
      </c>
      <c r="I38" s="15"/>
    </row>
    <row r="39" spans="1:9" x14ac:dyDescent="0.25">
      <c r="A39" s="15"/>
      <c r="B39" s="15"/>
      <c r="C39" s="15" t="s">
        <v>37</v>
      </c>
      <c r="D39" s="15"/>
      <c r="E39" s="3"/>
      <c r="F39" s="16">
        <v>1142.04</v>
      </c>
      <c r="G39" s="15"/>
      <c r="H39" s="16">
        <v>1142.04</v>
      </c>
      <c r="I39" s="15"/>
    </row>
    <row r="40" spans="1:9" x14ac:dyDescent="0.25">
      <c r="A40" s="15"/>
      <c r="B40" s="15"/>
      <c r="C40" s="15" t="s">
        <v>38</v>
      </c>
      <c r="D40" s="15"/>
      <c r="E40" s="3"/>
      <c r="F40" s="16">
        <v>57173.5</v>
      </c>
      <c r="G40" s="15"/>
      <c r="H40" s="16">
        <v>57173.5</v>
      </c>
      <c r="I40" s="15"/>
    </row>
    <row r="41" spans="1:9" x14ac:dyDescent="0.25">
      <c r="A41" s="17"/>
      <c r="B41" s="17" t="s">
        <v>39</v>
      </c>
      <c r="C41" s="17"/>
      <c r="D41" s="17"/>
      <c r="E41" s="20"/>
      <c r="F41" s="12">
        <f>SUM(F42:F57)</f>
        <v>19834054.540000003</v>
      </c>
      <c r="G41" s="8">
        <f>F41/F63*100</f>
        <v>67.109153264449759</v>
      </c>
      <c r="H41" s="12">
        <v>18964178.93</v>
      </c>
      <c r="I41" s="8">
        <f>H41/H63*100</f>
        <v>72.280698229545919</v>
      </c>
    </row>
    <row r="42" spans="1:9" x14ac:dyDescent="0.25">
      <c r="A42" s="15"/>
      <c r="B42" s="15"/>
      <c r="C42" s="15" t="s">
        <v>40</v>
      </c>
      <c r="D42" s="15"/>
      <c r="E42" s="3"/>
      <c r="F42" s="16">
        <v>592000</v>
      </c>
      <c r="G42" s="15"/>
      <c r="H42" s="16">
        <v>592000</v>
      </c>
      <c r="I42" s="15"/>
    </row>
    <row r="43" spans="1:9" x14ac:dyDescent="0.25">
      <c r="A43" s="15"/>
      <c r="B43" s="15"/>
      <c r="C43" s="15" t="s">
        <v>41</v>
      </c>
      <c r="D43" s="15"/>
      <c r="E43" s="3"/>
      <c r="F43" s="16">
        <f>2956841.79+1354273.56+46422.19+215449.64+490417.41+12987+957627.93+608708.27+808428.95</f>
        <v>7451156.7399999993</v>
      </c>
      <c r="G43" s="15"/>
      <c r="H43" s="16">
        <v>7345222.5699999994</v>
      </c>
      <c r="I43" s="15"/>
    </row>
    <row r="44" spans="1:9" x14ac:dyDescent="0.25">
      <c r="A44" s="15"/>
      <c r="B44" s="15"/>
      <c r="C44" s="15" t="s">
        <v>42</v>
      </c>
      <c r="D44" s="15"/>
      <c r="E44" s="3"/>
      <c r="F44" s="16">
        <f>104031.13+28957.54+2689265.54+43690+93897.69+14010+257703.06+213226.79+19492.62+96802.26+21329.1+14405.58</f>
        <v>3596811.31</v>
      </c>
      <c r="G44" s="15"/>
      <c r="H44" s="16">
        <v>3188699.46</v>
      </c>
      <c r="I44" s="15"/>
    </row>
    <row r="45" spans="1:9" x14ac:dyDescent="0.25">
      <c r="A45" s="15"/>
      <c r="B45" s="15"/>
      <c r="C45" s="15" t="s">
        <v>43</v>
      </c>
      <c r="D45" s="15"/>
      <c r="E45" s="3"/>
      <c r="F45" s="16">
        <f>1733827.2+58748.04+44505.21+8549.84+18216.11+219665.86+52032.37+51364.95+501412.47+1336705.97+1214976.27+7.81+81765.52</f>
        <v>5321777.62</v>
      </c>
      <c r="G45" s="21"/>
      <c r="H45" s="16">
        <v>5305956.3099999996</v>
      </c>
      <c r="I45" s="21"/>
    </row>
    <row r="46" spans="1:9" x14ac:dyDescent="0.25">
      <c r="A46" s="15"/>
      <c r="B46" s="15"/>
      <c r="C46" s="15" t="s">
        <v>44</v>
      </c>
      <c r="D46" s="15"/>
      <c r="E46" s="3"/>
      <c r="F46" s="16">
        <v>438230.96</v>
      </c>
      <c r="G46" s="15"/>
      <c r="H46" s="16">
        <v>438230.96</v>
      </c>
      <c r="I46" s="15"/>
    </row>
    <row r="47" spans="1:9" x14ac:dyDescent="0.25">
      <c r="A47" s="15"/>
      <c r="B47" s="15"/>
      <c r="C47" s="15" t="s">
        <v>45</v>
      </c>
      <c r="D47" s="15"/>
      <c r="E47" s="3"/>
      <c r="F47" s="16">
        <v>1192514.44</v>
      </c>
      <c r="G47" s="15"/>
      <c r="H47" s="16">
        <v>1088260.3</v>
      </c>
      <c r="I47" s="15"/>
    </row>
    <row r="48" spans="1:9" x14ac:dyDescent="0.25">
      <c r="A48" s="15"/>
      <c r="B48" s="15"/>
      <c r="C48" s="15" t="s">
        <v>46</v>
      </c>
      <c r="D48" s="15"/>
      <c r="E48" s="3"/>
      <c r="F48" s="16">
        <v>606350.5</v>
      </c>
      <c r="G48" s="15"/>
      <c r="H48" s="16">
        <v>554226.81000000006</v>
      </c>
      <c r="I48" s="15"/>
    </row>
    <row r="49" spans="1:9" x14ac:dyDescent="0.25">
      <c r="A49" s="15"/>
      <c r="B49" s="15"/>
      <c r="C49" s="15" t="s">
        <v>47</v>
      </c>
      <c r="D49" s="15"/>
      <c r="E49" s="3"/>
      <c r="F49" s="16">
        <v>1868.44</v>
      </c>
      <c r="G49" s="15"/>
      <c r="H49" s="16">
        <v>1868.44</v>
      </c>
      <c r="I49" s="15"/>
    </row>
    <row r="50" spans="1:9" x14ac:dyDescent="0.25">
      <c r="A50" s="15"/>
      <c r="B50" s="15"/>
      <c r="C50" s="15" t="s">
        <v>48</v>
      </c>
      <c r="D50" s="15"/>
      <c r="E50" s="3"/>
      <c r="F50" s="16">
        <v>1780</v>
      </c>
      <c r="G50" s="15"/>
      <c r="H50" s="16">
        <v>1780</v>
      </c>
      <c r="I50" s="15"/>
    </row>
    <row r="51" spans="1:9" x14ac:dyDescent="0.25">
      <c r="A51" s="15"/>
      <c r="B51" s="15"/>
      <c r="C51" s="15" t="s">
        <v>49</v>
      </c>
      <c r="D51" s="15"/>
      <c r="E51" s="3"/>
      <c r="F51" s="16">
        <v>133883.85999999999</v>
      </c>
      <c r="G51" s="15"/>
      <c r="H51" s="16">
        <v>133883.85999999999</v>
      </c>
      <c r="I51" s="15"/>
    </row>
    <row r="52" spans="1:9" x14ac:dyDescent="0.25">
      <c r="A52" s="15"/>
      <c r="B52" s="15"/>
      <c r="C52" s="15" t="s">
        <v>50</v>
      </c>
      <c r="D52" s="15"/>
      <c r="E52" s="3"/>
      <c r="F52" s="16">
        <v>26202</v>
      </c>
      <c r="G52" s="15"/>
      <c r="H52" s="16">
        <v>26202</v>
      </c>
      <c r="I52" s="15"/>
    </row>
    <row r="53" spans="1:9" x14ac:dyDescent="0.25">
      <c r="A53" s="15"/>
      <c r="B53" s="15"/>
      <c r="C53" s="15" t="s">
        <v>51</v>
      </c>
      <c r="D53" s="15"/>
      <c r="E53" s="3"/>
      <c r="F53" s="22">
        <v>205325.82</v>
      </c>
      <c r="G53" s="15"/>
      <c r="H53" s="22">
        <v>205325.82</v>
      </c>
      <c r="I53" s="15"/>
    </row>
    <row r="54" spans="1:9" x14ac:dyDescent="0.25">
      <c r="A54" s="15"/>
      <c r="B54" s="15"/>
      <c r="C54" s="15" t="s">
        <v>52</v>
      </c>
      <c r="D54" s="15"/>
      <c r="E54" s="3"/>
      <c r="F54" s="16">
        <v>168420</v>
      </c>
      <c r="G54" s="15"/>
      <c r="H54" s="16">
        <v>6500</v>
      </c>
      <c r="I54" s="15"/>
    </row>
    <row r="55" spans="1:9" x14ac:dyDescent="0.25">
      <c r="A55" s="15"/>
      <c r="B55" s="15"/>
      <c r="C55" s="15" t="s">
        <v>53</v>
      </c>
      <c r="D55" s="15"/>
      <c r="E55" s="3"/>
      <c r="F55" s="16">
        <v>39653.32</v>
      </c>
      <c r="G55" s="15"/>
      <c r="H55" s="16">
        <v>39653.32</v>
      </c>
      <c r="I55" s="15"/>
    </row>
    <row r="56" spans="1:9" x14ac:dyDescent="0.25">
      <c r="A56" s="15"/>
      <c r="B56" s="15"/>
      <c r="C56" s="15" t="s">
        <v>54</v>
      </c>
      <c r="D56" s="15"/>
      <c r="E56" s="3"/>
      <c r="F56" s="16">
        <v>48879.53</v>
      </c>
      <c r="G56" s="15"/>
      <c r="H56" s="16">
        <v>36369.08</v>
      </c>
      <c r="I56" s="15"/>
    </row>
    <row r="57" spans="1:9" x14ac:dyDescent="0.25">
      <c r="A57" s="15"/>
      <c r="B57" s="15"/>
      <c r="C57" s="15" t="s">
        <v>55</v>
      </c>
      <c r="D57" s="15"/>
      <c r="E57" s="3"/>
      <c r="F57" s="16">
        <v>9200</v>
      </c>
      <c r="G57" s="15"/>
      <c r="H57" s="16">
        <v>0</v>
      </c>
      <c r="I57" s="15"/>
    </row>
    <row r="58" spans="1:9" x14ac:dyDescent="0.25">
      <c r="A58" s="17"/>
      <c r="B58" s="17" t="s">
        <v>56</v>
      </c>
      <c r="C58" s="17"/>
      <c r="D58" s="17"/>
      <c r="E58" s="18"/>
      <c r="F58" s="12">
        <f>SUM(F59:F61)</f>
        <v>67150.100000000006</v>
      </c>
      <c r="G58" s="8">
        <f>F58/F63*100</f>
        <v>0.22720449535595194</v>
      </c>
      <c r="H58" s="12">
        <v>67150.100000000006</v>
      </c>
      <c r="I58" s="8">
        <f>H58/H63*100</f>
        <v>0.25593811005999789</v>
      </c>
    </row>
    <row r="59" spans="1:9" x14ac:dyDescent="0.25">
      <c r="A59" s="15"/>
      <c r="B59" s="15"/>
      <c r="C59" s="15" t="s">
        <v>57</v>
      </c>
      <c r="D59" s="15"/>
      <c r="E59" s="3"/>
      <c r="F59" s="16">
        <v>62500</v>
      </c>
      <c r="G59" s="15"/>
      <c r="H59" s="16">
        <v>62500</v>
      </c>
      <c r="I59" s="15"/>
    </row>
    <row r="60" spans="1:9" x14ac:dyDescent="0.25">
      <c r="A60" s="15"/>
      <c r="B60" s="15"/>
      <c r="C60" s="15" t="s">
        <v>42</v>
      </c>
      <c r="D60" s="15"/>
      <c r="E60" s="3"/>
      <c r="F60" s="16">
        <f>639.2+2885.9</f>
        <v>3525.1000000000004</v>
      </c>
      <c r="G60" s="15"/>
      <c r="H60" s="16">
        <v>3525.1</v>
      </c>
      <c r="I60" s="15"/>
    </row>
    <row r="61" spans="1:9" x14ac:dyDescent="0.25">
      <c r="A61" s="15"/>
      <c r="B61" s="15"/>
      <c r="C61" s="15" t="s">
        <v>45</v>
      </c>
      <c r="D61" s="15"/>
      <c r="E61" s="3"/>
      <c r="F61" s="16">
        <v>1125</v>
      </c>
      <c r="G61" s="15"/>
      <c r="H61" s="16">
        <v>1125</v>
      </c>
      <c r="I61" s="15"/>
    </row>
    <row r="62" spans="1:9" x14ac:dyDescent="0.25">
      <c r="A62" s="15"/>
      <c r="B62" s="17" t="s">
        <v>58</v>
      </c>
      <c r="C62" s="17"/>
      <c r="D62" s="17"/>
      <c r="E62" s="18"/>
      <c r="F62" s="12">
        <v>-4461548.42</v>
      </c>
      <c r="G62" s="17"/>
      <c r="H62" s="12">
        <v>-3554657.03</v>
      </c>
      <c r="I62" s="17"/>
    </row>
    <row r="63" spans="1:9" x14ac:dyDescent="0.25">
      <c r="A63" s="9" t="s">
        <v>59</v>
      </c>
      <c r="B63" s="9"/>
      <c r="C63" s="9"/>
      <c r="D63" s="9"/>
      <c r="E63" s="10"/>
      <c r="F63" s="23">
        <f>F33+F7</f>
        <v>29554916.990000002</v>
      </c>
      <c r="G63" s="13">
        <f>F63/F63*100</f>
        <v>100</v>
      </c>
      <c r="H63" s="23">
        <v>26236850.770000003</v>
      </c>
      <c r="I63" s="13">
        <f>H63/H63*100</f>
        <v>100</v>
      </c>
    </row>
    <row r="64" spans="1:9" x14ac:dyDescent="0.25">
      <c r="A64" s="9"/>
      <c r="B64" s="9"/>
      <c r="C64" s="9"/>
      <c r="D64" s="9"/>
      <c r="E64" s="10"/>
      <c r="F64" s="23"/>
      <c r="G64" s="13"/>
      <c r="H64" s="23"/>
      <c r="I64" s="13"/>
    </row>
    <row r="65" spans="1:9" x14ac:dyDescent="0.25">
      <c r="A65" s="9"/>
      <c r="B65" s="9"/>
      <c r="C65" s="9"/>
      <c r="D65" s="9"/>
      <c r="E65" s="10"/>
      <c r="F65" s="23"/>
      <c r="G65" s="24"/>
      <c r="H65" s="23"/>
      <c r="I65" s="24"/>
    </row>
    <row r="66" spans="1:9" x14ac:dyDescent="0.25">
      <c r="A66" s="25" t="s">
        <v>60</v>
      </c>
      <c r="B66" s="25"/>
      <c r="C66" s="25"/>
      <c r="D66" s="25"/>
      <c r="E66" s="25"/>
      <c r="F66" s="25"/>
      <c r="G66" s="25"/>
      <c r="H66" s="25"/>
      <c r="I66" s="25"/>
    </row>
    <row r="67" spans="1:9" x14ac:dyDescent="0.25">
      <c r="A67" s="3"/>
      <c r="B67" s="3"/>
      <c r="C67" s="3" t="s">
        <v>61</v>
      </c>
      <c r="D67" s="15"/>
      <c r="E67" s="3"/>
      <c r="F67" s="26"/>
      <c r="G67" s="25" t="s">
        <v>62</v>
      </c>
      <c r="H67" s="25"/>
      <c r="I67" s="3"/>
    </row>
    <row r="68" spans="1:9" x14ac:dyDescent="0.25">
      <c r="A68" s="9"/>
      <c r="B68" s="16"/>
      <c r="C68" s="3" t="s">
        <v>63</v>
      </c>
      <c r="D68" s="15"/>
      <c r="E68" s="3"/>
      <c r="F68" s="27"/>
      <c r="G68" s="25" t="s">
        <v>64</v>
      </c>
      <c r="H68" s="25"/>
      <c r="I68" s="24"/>
    </row>
    <row r="69" spans="1:9" x14ac:dyDescent="0.25">
      <c r="A69" s="9"/>
      <c r="B69" s="16"/>
      <c r="C69" s="28" t="s">
        <v>65</v>
      </c>
      <c r="D69" s="15"/>
      <c r="E69" s="3"/>
      <c r="F69" s="27"/>
      <c r="G69" s="25" t="s">
        <v>66</v>
      </c>
      <c r="H69" s="25"/>
      <c r="I69" s="24"/>
    </row>
    <row r="70" spans="1:9" x14ac:dyDescent="0.25">
      <c r="A70" s="9"/>
      <c r="B70" s="16"/>
      <c r="C70" s="28"/>
      <c r="D70" s="15"/>
      <c r="E70" s="3"/>
      <c r="F70" s="27"/>
      <c r="G70" s="3"/>
      <c r="H70" s="3"/>
      <c r="I70" s="24"/>
    </row>
    <row r="71" spans="1:9" x14ac:dyDescent="0.25">
      <c r="A71" s="9"/>
      <c r="B71" s="16"/>
      <c r="C71" s="28"/>
      <c r="D71" s="15"/>
      <c r="E71" s="3"/>
      <c r="F71" s="27"/>
      <c r="G71" s="3"/>
      <c r="H71" s="3"/>
      <c r="I71" s="24"/>
    </row>
    <row r="72" spans="1:9" x14ac:dyDescent="0.25">
      <c r="A72" s="9"/>
      <c r="B72" s="16"/>
      <c r="C72" s="28"/>
      <c r="D72" s="15"/>
      <c r="E72" s="3"/>
      <c r="F72" s="27"/>
      <c r="G72" s="3"/>
      <c r="H72" s="3"/>
      <c r="I72" s="24"/>
    </row>
    <row r="73" spans="1:9" x14ac:dyDescent="0.25">
      <c r="A73" s="9"/>
      <c r="B73" s="16"/>
      <c r="C73" s="28"/>
      <c r="D73" s="15"/>
      <c r="E73" s="3"/>
      <c r="F73" s="27"/>
      <c r="G73" s="3"/>
      <c r="H73" s="3"/>
      <c r="I73" s="24"/>
    </row>
    <row r="74" spans="1:9" x14ac:dyDescent="0.25">
      <c r="A74" s="9"/>
      <c r="B74" s="16"/>
      <c r="C74" s="28"/>
      <c r="D74" s="15"/>
      <c r="E74" s="3"/>
      <c r="F74" s="27"/>
      <c r="G74" s="3"/>
      <c r="H74" s="3"/>
      <c r="I74" s="24"/>
    </row>
    <row r="75" spans="1:9" x14ac:dyDescent="0.25">
      <c r="A75" s="9"/>
      <c r="B75" s="16"/>
      <c r="C75" s="28"/>
      <c r="D75" s="15"/>
      <c r="E75" s="3"/>
      <c r="F75" s="27"/>
      <c r="G75" s="3"/>
      <c r="H75" s="3"/>
      <c r="I75" s="24"/>
    </row>
    <row r="76" spans="1:9" x14ac:dyDescent="0.25">
      <c r="A76" s="9"/>
      <c r="B76" s="16"/>
      <c r="C76" s="28"/>
      <c r="D76" s="15"/>
      <c r="E76" s="3"/>
      <c r="F76" s="27"/>
      <c r="G76" s="3"/>
      <c r="H76" s="3"/>
      <c r="I76" s="24"/>
    </row>
    <row r="77" spans="1:9" x14ac:dyDescent="0.25">
      <c r="A77" s="9"/>
      <c r="B77" s="16"/>
      <c r="C77" s="28"/>
      <c r="D77" s="15"/>
      <c r="E77" s="3"/>
      <c r="F77" s="27"/>
      <c r="G77" s="3"/>
      <c r="H77" s="3"/>
      <c r="I77" s="24"/>
    </row>
    <row r="78" spans="1:9" x14ac:dyDescent="0.25">
      <c r="A78" s="9"/>
      <c r="B78" s="16"/>
      <c r="C78" s="28"/>
      <c r="D78" s="15"/>
      <c r="E78" s="3"/>
      <c r="F78" s="27"/>
      <c r="G78" s="3"/>
      <c r="H78" s="3"/>
      <c r="I78" s="24"/>
    </row>
    <row r="79" spans="1:9" x14ac:dyDescent="0.25">
      <c r="A79" s="9"/>
      <c r="B79" s="16"/>
      <c r="C79" s="28"/>
      <c r="D79" s="15"/>
      <c r="E79" s="3"/>
      <c r="F79" s="27"/>
      <c r="G79" s="3"/>
      <c r="H79" s="3"/>
      <c r="I79" s="24"/>
    </row>
    <row r="80" spans="1:9" x14ac:dyDescent="0.25">
      <c r="A80" s="9"/>
      <c r="B80" s="16"/>
      <c r="C80" s="28"/>
      <c r="D80" s="15"/>
      <c r="E80" s="3"/>
      <c r="F80" s="27"/>
      <c r="G80" s="3"/>
      <c r="H80" s="3"/>
      <c r="I80" s="24"/>
    </row>
    <row r="81" spans="1:9" x14ac:dyDescent="0.25">
      <c r="A81" s="9"/>
      <c r="B81" s="16"/>
      <c r="C81" s="28"/>
      <c r="D81" s="15"/>
      <c r="E81" s="3"/>
      <c r="F81" s="27"/>
      <c r="G81" s="3"/>
      <c r="H81" s="3"/>
      <c r="I81" s="24"/>
    </row>
    <row r="82" spans="1:9" ht="18" x14ac:dyDescent="0.25">
      <c r="A82" s="1" t="s">
        <v>0</v>
      </c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2" t="s">
        <v>1</v>
      </c>
      <c r="B83" s="2"/>
      <c r="C83" s="2"/>
      <c r="D83" s="2"/>
      <c r="E83" s="2"/>
      <c r="F83" s="2"/>
      <c r="G83" s="2"/>
      <c r="H83" s="2"/>
      <c r="I83" s="2"/>
    </row>
    <row r="84" spans="1:9" x14ac:dyDescent="0.25">
      <c r="A84" s="3"/>
      <c r="B84" s="3"/>
      <c r="C84" s="3"/>
      <c r="D84" s="3"/>
      <c r="E84" s="3"/>
      <c r="F84" s="3"/>
      <c r="G84" s="3"/>
      <c r="H84" s="3"/>
      <c r="I84" s="3"/>
    </row>
    <row r="85" spans="1:9" ht="15.75" x14ac:dyDescent="0.25">
      <c r="A85" s="4" t="s">
        <v>2</v>
      </c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9"/>
      <c r="B86" s="29"/>
      <c r="C86" s="9"/>
      <c r="D86" s="9"/>
      <c r="E86" s="10"/>
      <c r="F86" s="9"/>
      <c r="G86" s="17"/>
      <c r="H86" s="9"/>
      <c r="I86" s="17"/>
    </row>
    <row r="87" spans="1:9" x14ac:dyDescent="0.25">
      <c r="A87" s="6" t="s">
        <v>67</v>
      </c>
      <c r="B87" s="6"/>
      <c r="C87" s="6"/>
      <c r="D87" s="6"/>
      <c r="E87" s="6"/>
      <c r="F87" s="7">
        <v>43830</v>
      </c>
      <c r="G87" s="8" t="s">
        <v>4</v>
      </c>
      <c r="H87" s="7">
        <v>43465</v>
      </c>
      <c r="I87" s="8" t="s">
        <v>4</v>
      </c>
    </row>
    <row r="88" spans="1:9" ht="19.5" x14ac:dyDescent="0.55000000000000004">
      <c r="A88" s="9" t="s">
        <v>5</v>
      </c>
      <c r="B88" s="29"/>
      <c r="C88" s="9"/>
      <c r="D88" s="9"/>
      <c r="E88" s="10"/>
      <c r="F88" s="19">
        <f>SUM(F89:F99)-F92-F93</f>
        <v>16323157.18</v>
      </c>
      <c r="G88" s="8">
        <f>F88/F108*100</f>
        <v>55.22992057640694</v>
      </c>
      <c r="H88" s="19">
        <v>14371773.57</v>
      </c>
      <c r="I88" s="8">
        <f>H88/H108*100</f>
        <v>54.777052688172169</v>
      </c>
    </row>
    <row r="89" spans="1:9" x14ac:dyDescent="0.25">
      <c r="A89" s="15"/>
      <c r="B89" s="16"/>
      <c r="C89" s="15" t="s">
        <v>68</v>
      </c>
      <c r="D89" s="15"/>
      <c r="E89" s="3"/>
      <c r="F89" s="16">
        <v>3579480.04</v>
      </c>
      <c r="G89" s="15"/>
      <c r="H89" s="16">
        <v>3566835</v>
      </c>
      <c r="I89" s="15"/>
    </row>
    <row r="90" spans="1:9" x14ac:dyDescent="0.25">
      <c r="A90" s="15"/>
      <c r="B90" s="16" t="s">
        <v>69</v>
      </c>
      <c r="C90" s="15" t="s">
        <v>70</v>
      </c>
      <c r="D90" s="15"/>
      <c r="E90" s="3"/>
      <c r="F90" s="16">
        <v>4695578.29</v>
      </c>
      <c r="G90" s="15"/>
      <c r="H90" s="16">
        <v>3464485.53</v>
      </c>
      <c r="I90" s="15"/>
    </row>
    <row r="91" spans="1:9" x14ac:dyDescent="0.25">
      <c r="A91" s="15"/>
      <c r="B91" s="16"/>
      <c r="C91" s="15" t="s">
        <v>71</v>
      </c>
      <c r="D91" s="15"/>
      <c r="E91" s="3"/>
      <c r="F91" s="16">
        <f>F92+F93</f>
        <v>5193502.88</v>
      </c>
      <c r="G91" s="15"/>
      <c r="H91" s="16">
        <v>4341125.8899999997</v>
      </c>
      <c r="I91" s="15"/>
    </row>
    <row r="92" spans="1:9" x14ac:dyDescent="0.25">
      <c r="A92" s="15"/>
      <c r="B92" s="16"/>
      <c r="C92" s="15" t="s">
        <v>72</v>
      </c>
      <c r="D92" s="15"/>
      <c r="E92" s="3"/>
      <c r="F92" s="16">
        <v>1317616.93</v>
      </c>
      <c r="G92" s="15"/>
      <c r="H92" s="16">
        <v>1156115.6000000001</v>
      </c>
      <c r="I92" s="15"/>
    </row>
    <row r="93" spans="1:9" x14ac:dyDescent="0.25">
      <c r="A93" s="15"/>
      <c r="B93" s="16"/>
      <c r="C93" s="15" t="s">
        <v>73</v>
      </c>
      <c r="D93" s="15"/>
      <c r="E93" s="3"/>
      <c r="F93" s="16">
        <v>3875885.95</v>
      </c>
      <c r="G93" s="15"/>
      <c r="H93" s="16">
        <v>3185010.29</v>
      </c>
      <c r="I93" s="15"/>
    </row>
    <row r="94" spans="1:9" x14ac:dyDescent="0.25">
      <c r="A94" s="15"/>
      <c r="B94" s="16"/>
      <c r="C94" s="15" t="s">
        <v>74</v>
      </c>
      <c r="D94" s="15"/>
      <c r="E94" s="3"/>
      <c r="F94" s="16">
        <v>597833.68000000005</v>
      </c>
      <c r="G94" s="15"/>
      <c r="H94" s="16">
        <v>500933.8</v>
      </c>
      <c r="I94" s="15"/>
    </row>
    <row r="95" spans="1:9" x14ac:dyDescent="0.25">
      <c r="A95" s="15"/>
      <c r="B95" s="16"/>
      <c r="C95" s="15" t="s">
        <v>75</v>
      </c>
      <c r="D95" s="15"/>
      <c r="E95" s="3"/>
      <c r="F95" s="16">
        <f>457368.93+758825.48</f>
        <v>1216194.4099999999</v>
      </c>
      <c r="G95" s="15"/>
      <c r="H95" s="16">
        <v>1288393.76</v>
      </c>
      <c r="I95" s="15"/>
    </row>
    <row r="96" spans="1:9" x14ac:dyDescent="0.25">
      <c r="A96" s="15"/>
      <c r="B96" s="16"/>
      <c r="C96" s="15" t="s">
        <v>76</v>
      </c>
      <c r="D96" s="15"/>
      <c r="E96" s="3"/>
      <c r="F96" s="16">
        <v>418413.05</v>
      </c>
      <c r="G96" s="15"/>
      <c r="H96" s="16">
        <v>188352.34</v>
      </c>
      <c r="I96" s="15"/>
    </row>
    <row r="97" spans="1:9" x14ac:dyDescent="0.25">
      <c r="A97" s="15"/>
      <c r="B97" s="16"/>
      <c r="C97" s="15" t="s">
        <v>77</v>
      </c>
      <c r="D97" s="15"/>
      <c r="E97" s="3"/>
      <c r="F97" s="16">
        <v>214824.15</v>
      </c>
      <c r="G97" s="15"/>
      <c r="H97" s="16">
        <v>343376.8</v>
      </c>
      <c r="I97" s="15"/>
    </row>
    <row r="98" spans="1:9" x14ac:dyDescent="0.25">
      <c r="A98" s="15"/>
      <c r="B98" s="16"/>
      <c r="C98" s="15" t="s">
        <v>78</v>
      </c>
      <c r="D98" s="15"/>
      <c r="E98" s="3"/>
      <c r="F98" s="16">
        <v>404850.89</v>
      </c>
      <c r="G98" s="15"/>
      <c r="H98" s="16">
        <v>677077.62</v>
      </c>
      <c r="I98" s="15"/>
    </row>
    <row r="99" spans="1:9" x14ac:dyDescent="0.25">
      <c r="A99" s="15"/>
      <c r="B99" s="16"/>
      <c r="C99" s="15" t="s">
        <v>79</v>
      </c>
      <c r="D99" s="15"/>
      <c r="E99" s="3"/>
      <c r="F99" s="16">
        <v>2479.79</v>
      </c>
      <c r="G99" s="15"/>
      <c r="H99" s="16">
        <v>1192.83</v>
      </c>
      <c r="I99" s="15"/>
    </row>
    <row r="100" spans="1:9" ht="19.5" x14ac:dyDescent="0.55000000000000004">
      <c r="A100" s="9" t="s">
        <v>31</v>
      </c>
      <c r="B100" s="30"/>
      <c r="C100" s="31"/>
      <c r="D100" s="31"/>
      <c r="E100" s="32"/>
      <c r="F100" s="19">
        <f>SUM(F102:F104)</f>
        <v>11073910.08</v>
      </c>
      <c r="G100" s="8">
        <f>F100/F108*100</f>
        <v>37.468926350721588</v>
      </c>
      <c r="H100" s="19">
        <v>10558358.84</v>
      </c>
      <c r="I100" s="8">
        <f>H100/H108*100</f>
        <v>40.242477775087039</v>
      </c>
    </row>
    <row r="101" spans="1:9" x14ac:dyDescent="0.25">
      <c r="A101" s="9"/>
      <c r="B101" s="29" t="s">
        <v>80</v>
      </c>
      <c r="C101" s="9"/>
      <c r="D101" s="9"/>
      <c r="E101" s="10"/>
      <c r="F101" s="29">
        <f>SUM(F102:F104)</f>
        <v>11073910.08</v>
      </c>
      <c r="G101" s="8"/>
      <c r="H101" s="29">
        <v>10558358.84</v>
      </c>
      <c r="I101" s="8"/>
    </row>
    <row r="102" spans="1:9" x14ac:dyDescent="0.25">
      <c r="A102" s="17"/>
      <c r="B102" s="16"/>
      <c r="C102" s="15" t="s">
        <v>81</v>
      </c>
      <c r="D102" s="15"/>
      <c r="E102" s="3"/>
      <c r="F102" s="16">
        <v>8031409.5199999996</v>
      </c>
      <c r="G102" s="8"/>
      <c r="H102" s="16">
        <v>6827625.5700000003</v>
      </c>
      <c r="I102" s="8"/>
    </row>
    <row r="103" spans="1:9" x14ac:dyDescent="0.25">
      <c r="A103" s="15"/>
      <c r="B103" s="16"/>
      <c r="C103" s="15" t="s">
        <v>82</v>
      </c>
      <c r="D103" s="15"/>
      <c r="E103" s="3"/>
      <c r="F103" s="16">
        <v>2799593.9</v>
      </c>
      <c r="G103" s="15"/>
      <c r="H103" s="16">
        <v>3487826.61</v>
      </c>
      <c r="I103" s="15"/>
    </row>
    <row r="104" spans="1:9" x14ac:dyDescent="0.25">
      <c r="A104" s="15"/>
      <c r="B104" s="16"/>
      <c r="C104" s="15" t="s">
        <v>83</v>
      </c>
      <c r="D104" s="15"/>
      <c r="E104" s="3"/>
      <c r="F104" s="16">
        <v>242906.66</v>
      </c>
      <c r="G104" s="15"/>
      <c r="H104" s="16">
        <v>242906.66</v>
      </c>
      <c r="I104" s="15"/>
    </row>
    <row r="105" spans="1:9" ht="19.5" x14ac:dyDescent="0.55000000000000004">
      <c r="A105" s="9" t="s">
        <v>84</v>
      </c>
      <c r="B105" s="30"/>
      <c r="C105" s="31"/>
      <c r="D105" s="31"/>
      <c r="E105" s="32"/>
      <c r="F105" s="19">
        <f>SUM(F106:F107)</f>
        <v>2157849.7299999939</v>
      </c>
      <c r="G105" s="8">
        <f>F105/F108*100</f>
        <v>7.3011530728714611</v>
      </c>
      <c r="H105" s="19">
        <v>1306718.3599999929</v>
      </c>
      <c r="I105" s="8">
        <f>H105/H108*100</f>
        <v>4.9804695367407978</v>
      </c>
    </row>
    <row r="106" spans="1:9" x14ac:dyDescent="0.25">
      <c r="A106" s="15"/>
      <c r="B106" s="16"/>
      <c r="C106" s="15" t="s">
        <v>85</v>
      </c>
      <c r="D106" s="15"/>
      <c r="E106" s="3"/>
      <c r="F106" s="16">
        <v>1306718.3600000001</v>
      </c>
      <c r="G106" s="15"/>
      <c r="H106" s="16">
        <v>1964874.45</v>
      </c>
      <c r="I106" s="21"/>
    </row>
    <row r="107" spans="1:9" x14ac:dyDescent="0.25">
      <c r="A107" s="31" t="s">
        <v>69</v>
      </c>
      <c r="B107" s="16"/>
      <c r="C107" s="15" t="s">
        <v>86</v>
      </c>
      <c r="D107" s="15"/>
      <c r="E107" s="3"/>
      <c r="F107" s="16">
        <f>'[1]balancete 2019'!$N$88</f>
        <v>851131.36999999394</v>
      </c>
      <c r="G107" s="15"/>
      <c r="H107" s="16">
        <v>-658156.09000000707</v>
      </c>
      <c r="I107" s="15"/>
    </row>
    <row r="108" spans="1:9" x14ac:dyDescent="0.25">
      <c r="A108" s="9" t="s">
        <v>87</v>
      </c>
      <c r="B108" s="30"/>
      <c r="C108" s="31"/>
      <c r="D108" s="31"/>
      <c r="E108" s="32"/>
      <c r="F108" s="29">
        <f>F105+F100+F88</f>
        <v>29554916.989999995</v>
      </c>
      <c r="G108" s="8">
        <f>F108/F108*100</f>
        <v>100</v>
      </c>
      <c r="H108" s="29">
        <v>26236850.769999992</v>
      </c>
      <c r="I108" s="8">
        <v>100</v>
      </c>
    </row>
    <row r="109" spans="1:9" x14ac:dyDescent="0.25">
      <c r="A109" s="9"/>
      <c r="B109" s="30"/>
      <c r="C109" s="31"/>
      <c r="D109" s="31"/>
      <c r="E109" s="32"/>
      <c r="F109" s="29"/>
      <c r="G109" s="29"/>
      <c r="H109" s="29"/>
      <c r="I109" s="24"/>
    </row>
    <row r="110" spans="1:9" x14ac:dyDescent="0.25">
      <c r="A110" s="9"/>
      <c r="B110" s="30"/>
      <c r="C110" s="31"/>
      <c r="D110" s="31"/>
      <c r="E110" s="32"/>
      <c r="F110" s="29"/>
      <c r="G110" s="29"/>
      <c r="H110" s="29"/>
      <c r="I110" s="24"/>
    </row>
    <row r="111" spans="1:9" x14ac:dyDescent="0.25">
      <c r="A111" s="15"/>
      <c r="B111" s="16"/>
      <c r="C111" s="15"/>
      <c r="D111" s="15"/>
      <c r="E111" s="3"/>
      <c r="F111" s="17"/>
      <c r="G111" s="15"/>
      <c r="H111" s="15"/>
      <c r="I111" s="15"/>
    </row>
    <row r="112" spans="1:9" x14ac:dyDescent="0.25">
      <c r="A112" s="25" t="s">
        <v>60</v>
      </c>
      <c r="B112" s="25"/>
      <c r="C112" s="25"/>
      <c r="D112" s="25"/>
      <c r="E112" s="25"/>
      <c r="F112" s="25"/>
      <c r="G112" s="25"/>
      <c r="H112" s="25"/>
      <c r="I112" s="25"/>
    </row>
    <row r="113" spans="1:9" x14ac:dyDescent="0.25">
      <c r="A113" s="15"/>
      <c r="B113" s="16"/>
      <c r="C113" s="15"/>
      <c r="D113" s="15"/>
      <c r="E113" s="3"/>
      <c r="F113" s="17"/>
      <c r="G113" s="15"/>
      <c r="H113" s="15"/>
      <c r="I113" s="15"/>
    </row>
    <row r="114" spans="1:9" x14ac:dyDescent="0.25">
      <c r="A114" s="15"/>
      <c r="B114" s="16"/>
      <c r="C114" s="15"/>
      <c r="D114" s="15"/>
      <c r="E114" s="3"/>
      <c r="F114" s="17"/>
      <c r="G114" s="15"/>
      <c r="H114" s="15"/>
      <c r="I114" s="15"/>
    </row>
    <row r="115" spans="1:9" x14ac:dyDescent="0.25">
      <c r="A115" s="15"/>
      <c r="B115" s="16"/>
      <c r="C115" s="3" t="s">
        <v>61</v>
      </c>
      <c r="D115" s="15"/>
      <c r="E115" s="3"/>
      <c r="F115" s="26"/>
      <c r="G115" s="25" t="s">
        <v>62</v>
      </c>
      <c r="H115" s="25"/>
      <c r="I115" s="8"/>
    </row>
    <row r="116" spans="1:9" x14ac:dyDescent="0.25">
      <c r="A116" s="15"/>
      <c r="B116" s="16"/>
      <c r="C116" s="3" t="s">
        <v>63</v>
      </c>
      <c r="D116" s="15"/>
      <c r="E116" s="3"/>
      <c r="F116" s="27"/>
      <c r="G116" s="25" t="s">
        <v>64</v>
      </c>
      <c r="H116" s="25"/>
      <c r="I116" s="8"/>
    </row>
    <row r="117" spans="1:9" x14ac:dyDescent="0.25">
      <c r="A117" s="15"/>
      <c r="B117" s="16"/>
      <c r="C117" s="28" t="s">
        <v>65</v>
      </c>
      <c r="D117" s="15"/>
      <c r="E117" s="3"/>
      <c r="F117" s="27"/>
      <c r="G117" s="25" t="s">
        <v>66</v>
      </c>
      <c r="H117" s="25"/>
      <c r="I117" s="8"/>
    </row>
    <row r="118" spans="1:9" x14ac:dyDescent="0.25">
      <c r="A118" s="15"/>
      <c r="B118" s="16"/>
      <c r="C118" s="15"/>
      <c r="D118" s="15"/>
      <c r="E118" s="3"/>
      <c r="F118" s="17"/>
      <c r="G118" s="15"/>
      <c r="H118" s="15"/>
      <c r="I118" s="15"/>
    </row>
    <row r="119" spans="1:9" x14ac:dyDescent="0.25">
      <c r="A119" s="15"/>
      <c r="B119" s="16"/>
      <c r="C119" s="15"/>
      <c r="D119" s="15"/>
      <c r="E119" s="3"/>
      <c r="F119" s="17"/>
      <c r="G119" s="15"/>
      <c r="H119" s="15"/>
      <c r="I119" s="15"/>
    </row>
    <row r="120" spans="1:9" x14ac:dyDescent="0.25">
      <c r="A120" s="15"/>
      <c r="B120" s="16"/>
      <c r="C120" s="15"/>
      <c r="D120" s="15"/>
      <c r="E120" s="3"/>
      <c r="F120" s="17"/>
      <c r="G120" s="15"/>
      <c r="H120" s="15"/>
      <c r="I120" s="15"/>
    </row>
    <row r="121" spans="1:9" x14ac:dyDescent="0.25">
      <c r="A121" s="15"/>
      <c r="B121" s="16"/>
      <c r="C121" s="15"/>
      <c r="D121" s="15"/>
      <c r="E121" s="3"/>
      <c r="F121" s="33"/>
      <c r="G121" s="33"/>
      <c r="H121" s="33"/>
      <c r="I121" s="33"/>
    </row>
    <row r="122" spans="1:9" x14ac:dyDescent="0.25">
      <c r="A122" s="15"/>
      <c r="B122" s="16"/>
      <c r="C122" s="15"/>
      <c r="D122" s="15"/>
      <c r="E122" s="3"/>
      <c r="F122" s="34"/>
      <c r="G122" s="34"/>
      <c r="H122" s="34"/>
      <c r="I122" s="34"/>
    </row>
    <row r="123" spans="1:9" x14ac:dyDescent="0.25">
      <c r="A123" s="15"/>
      <c r="B123" s="16"/>
      <c r="C123" s="15"/>
      <c r="D123" s="15"/>
      <c r="E123" s="3"/>
      <c r="F123" s="17"/>
      <c r="G123" s="15"/>
      <c r="H123" s="15"/>
      <c r="I123" s="15"/>
    </row>
    <row r="124" spans="1:9" x14ac:dyDescent="0.25">
      <c r="A124" s="15"/>
      <c r="B124" s="16"/>
      <c r="C124" s="15"/>
      <c r="D124" s="15"/>
      <c r="E124" s="3"/>
      <c r="F124" s="17"/>
      <c r="G124" s="15"/>
      <c r="H124" s="15"/>
      <c r="I124" s="15"/>
    </row>
    <row r="125" spans="1:9" x14ac:dyDescent="0.25">
      <c r="A125" s="15"/>
      <c r="B125" s="16"/>
      <c r="C125" s="15"/>
      <c r="D125" s="15"/>
      <c r="E125" s="3"/>
      <c r="F125" s="17"/>
      <c r="G125" s="15"/>
      <c r="H125" s="15"/>
      <c r="I125" s="15"/>
    </row>
    <row r="126" spans="1:9" x14ac:dyDescent="0.25">
      <c r="A126" s="15"/>
      <c r="B126" s="16"/>
      <c r="C126" s="15"/>
      <c r="D126" s="15"/>
      <c r="E126" s="3"/>
      <c r="F126" s="17"/>
      <c r="G126" s="15"/>
      <c r="H126" s="15"/>
      <c r="I126" s="15"/>
    </row>
    <row r="127" spans="1:9" x14ac:dyDescent="0.25">
      <c r="A127" s="15"/>
      <c r="B127" s="16"/>
      <c r="C127" s="15"/>
      <c r="D127" s="15"/>
      <c r="E127" s="3"/>
      <c r="F127" s="17"/>
      <c r="G127" s="15"/>
      <c r="H127" s="15"/>
      <c r="I127" s="15"/>
    </row>
    <row r="128" spans="1:9" x14ac:dyDescent="0.25">
      <c r="A128" s="15"/>
      <c r="B128" s="16"/>
      <c r="C128" s="15"/>
      <c r="D128" s="15"/>
      <c r="E128" s="3"/>
      <c r="F128" s="17"/>
      <c r="G128" s="15"/>
      <c r="H128" s="15"/>
      <c r="I128" s="15"/>
    </row>
    <row r="129" spans="1:9" x14ac:dyDescent="0.25">
      <c r="A129" s="15"/>
      <c r="B129" s="16"/>
      <c r="C129" s="15"/>
      <c r="D129" s="15"/>
      <c r="E129" s="3"/>
      <c r="F129" s="17"/>
      <c r="G129" s="15"/>
      <c r="H129" s="15"/>
      <c r="I129" s="15"/>
    </row>
    <row r="130" spans="1:9" x14ac:dyDescent="0.25">
      <c r="A130" s="15"/>
      <c r="B130" s="16"/>
      <c r="C130" s="15"/>
      <c r="D130" s="15"/>
      <c r="E130" s="3"/>
      <c r="F130" s="17"/>
      <c r="G130" s="15"/>
      <c r="H130" s="15"/>
      <c r="I130" s="15"/>
    </row>
    <row r="131" spans="1:9" x14ac:dyDescent="0.25">
      <c r="A131" s="15"/>
      <c r="B131" s="16"/>
      <c r="C131" s="15"/>
      <c r="D131" s="15"/>
      <c r="E131" s="3"/>
      <c r="F131" s="17"/>
      <c r="G131" s="15"/>
      <c r="H131" s="15"/>
      <c r="I131" s="15"/>
    </row>
    <row r="132" spans="1:9" x14ac:dyDescent="0.25">
      <c r="A132" s="15"/>
      <c r="B132" s="16"/>
      <c r="C132" s="15"/>
      <c r="D132" s="15"/>
      <c r="E132" s="3"/>
      <c r="F132" s="17"/>
      <c r="G132" s="15"/>
      <c r="H132" s="15"/>
      <c r="I132" s="15"/>
    </row>
    <row r="133" spans="1:9" x14ac:dyDescent="0.25">
      <c r="A133" s="25"/>
      <c r="B133" s="25"/>
      <c r="C133" s="25"/>
      <c r="D133" s="25"/>
      <c r="E133" s="25"/>
      <c r="F133" s="25"/>
      <c r="G133" s="25"/>
      <c r="H133" s="25"/>
      <c r="I133" s="25"/>
    </row>
    <row r="134" spans="1:9" x14ac:dyDescent="0.25">
      <c r="A134" s="15"/>
      <c r="B134" s="16"/>
      <c r="C134" s="15"/>
      <c r="D134" s="15"/>
      <c r="E134" s="3"/>
      <c r="F134" s="17"/>
      <c r="G134" s="15"/>
      <c r="H134" s="15"/>
      <c r="I134" s="15"/>
    </row>
    <row r="135" spans="1:9" x14ac:dyDescent="0.25">
      <c r="A135" s="15"/>
      <c r="B135" s="16"/>
      <c r="C135" s="15"/>
      <c r="D135" s="15"/>
      <c r="E135" s="3"/>
      <c r="F135" s="17"/>
      <c r="G135" s="15"/>
      <c r="H135" s="15"/>
      <c r="I135" s="15"/>
    </row>
    <row r="136" spans="1:9" x14ac:dyDescent="0.25">
      <c r="A136" s="15"/>
      <c r="B136" s="25"/>
      <c r="C136" s="25"/>
      <c r="D136" s="15"/>
      <c r="E136" s="3"/>
      <c r="F136" s="17"/>
      <c r="G136" s="25"/>
      <c r="H136" s="25"/>
      <c r="I136" s="8"/>
    </row>
    <row r="137" spans="1:9" x14ac:dyDescent="0.25">
      <c r="A137" s="15"/>
      <c r="B137" s="25"/>
      <c r="C137" s="25"/>
      <c r="D137" s="15"/>
      <c r="E137" s="3"/>
      <c r="F137" s="17"/>
      <c r="G137" s="25"/>
      <c r="H137" s="25"/>
      <c r="I137" s="8"/>
    </row>
    <row r="138" spans="1:9" x14ac:dyDescent="0.25">
      <c r="A138" s="15"/>
      <c r="B138" s="25"/>
      <c r="C138" s="25"/>
      <c r="D138" s="15"/>
      <c r="E138" s="3"/>
      <c r="F138" s="17"/>
      <c r="G138" s="25"/>
      <c r="H138" s="25"/>
      <c r="I138" s="8"/>
    </row>
    <row r="139" spans="1:9" x14ac:dyDescent="0.25">
      <c r="A139" s="15"/>
      <c r="B139" s="16"/>
      <c r="C139" s="15"/>
      <c r="D139" s="15"/>
      <c r="E139" s="3"/>
      <c r="F139" s="17"/>
      <c r="G139" s="15"/>
      <c r="H139" s="15"/>
      <c r="I139" s="15"/>
    </row>
    <row r="140" spans="1:9" x14ac:dyDescent="0.25">
      <c r="A140" s="15"/>
      <c r="B140" s="16"/>
      <c r="C140" s="15"/>
      <c r="D140" s="15"/>
      <c r="E140" s="3"/>
      <c r="F140" s="17"/>
      <c r="G140" s="15"/>
      <c r="H140" s="15"/>
      <c r="I140" s="15"/>
    </row>
    <row r="141" spans="1:9" x14ac:dyDescent="0.25">
      <c r="A141" s="15"/>
      <c r="B141" s="16"/>
      <c r="C141" s="15"/>
      <c r="D141" s="15"/>
      <c r="E141" s="3"/>
      <c r="F141" s="17"/>
      <c r="G141" s="15"/>
      <c r="H141" s="15"/>
      <c r="I141" s="15"/>
    </row>
    <row r="142" spans="1:9" x14ac:dyDescent="0.25">
      <c r="A142" s="15"/>
      <c r="B142" s="16"/>
      <c r="C142" s="15"/>
      <c r="D142" s="15"/>
      <c r="E142" s="3"/>
      <c r="F142" s="17"/>
      <c r="G142" s="15"/>
      <c r="H142" s="15"/>
      <c r="I142" s="15"/>
    </row>
    <row r="143" spans="1:9" x14ac:dyDescent="0.25">
      <c r="A143" s="15"/>
      <c r="B143" s="16"/>
      <c r="C143" s="15"/>
      <c r="D143" s="15"/>
      <c r="E143" s="3"/>
      <c r="F143" s="17"/>
      <c r="G143" s="15"/>
      <c r="H143" s="15"/>
      <c r="I143" s="15"/>
    </row>
    <row r="144" spans="1:9" x14ac:dyDescent="0.25">
      <c r="A144" s="15"/>
      <c r="B144" s="16"/>
      <c r="C144" s="15"/>
      <c r="D144" s="15"/>
      <c r="E144" s="3"/>
      <c r="F144" s="17"/>
      <c r="G144" s="15"/>
      <c r="H144" s="15"/>
      <c r="I144" s="15"/>
    </row>
    <row r="145" spans="1:9" x14ac:dyDescent="0.25">
      <c r="A145" s="15"/>
      <c r="B145" s="16"/>
      <c r="C145" s="15"/>
      <c r="D145" s="15"/>
      <c r="E145" s="3"/>
      <c r="F145" s="17"/>
      <c r="G145" s="15"/>
      <c r="H145" s="15"/>
      <c r="I145" s="15"/>
    </row>
    <row r="146" spans="1:9" x14ac:dyDescent="0.25">
      <c r="A146" s="15"/>
      <c r="B146" s="16"/>
      <c r="C146" s="15"/>
      <c r="D146" s="15"/>
      <c r="E146" s="3"/>
      <c r="F146" s="17"/>
      <c r="G146" s="15"/>
      <c r="H146" s="15"/>
      <c r="I146" s="15"/>
    </row>
    <row r="147" spans="1:9" x14ac:dyDescent="0.25">
      <c r="A147" s="15"/>
      <c r="B147" s="16"/>
      <c r="C147" s="15"/>
      <c r="D147" s="15"/>
      <c r="E147" s="3"/>
      <c r="F147" s="17"/>
      <c r="G147" s="15"/>
      <c r="H147" s="15"/>
      <c r="I147" s="15"/>
    </row>
    <row r="148" spans="1:9" x14ac:dyDescent="0.25">
      <c r="A148" s="15"/>
      <c r="B148" s="16"/>
      <c r="C148" s="15"/>
      <c r="D148" s="15"/>
      <c r="E148" s="3"/>
      <c r="F148" s="17"/>
      <c r="G148" s="15"/>
      <c r="H148" s="15"/>
      <c r="I148" s="15"/>
    </row>
    <row r="149" spans="1:9" x14ac:dyDescent="0.25">
      <c r="A149" s="15"/>
      <c r="B149" s="16"/>
      <c r="C149" s="15"/>
      <c r="D149" s="15"/>
      <c r="E149" s="3"/>
      <c r="F149" s="17"/>
      <c r="G149" s="15"/>
      <c r="H149" s="15"/>
      <c r="I149" s="15"/>
    </row>
    <row r="150" spans="1:9" x14ac:dyDescent="0.25">
      <c r="A150" s="15"/>
      <c r="B150" s="16"/>
      <c r="C150" s="15"/>
      <c r="D150" s="15"/>
      <c r="E150" s="3"/>
      <c r="F150" s="17"/>
      <c r="G150" s="15"/>
      <c r="H150" s="15"/>
      <c r="I150" s="15"/>
    </row>
    <row r="151" spans="1:9" x14ac:dyDescent="0.25">
      <c r="A151" s="15"/>
      <c r="B151" s="16"/>
      <c r="C151" s="15"/>
      <c r="D151" s="15"/>
      <c r="E151" s="3"/>
      <c r="F151" s="17"/>
      <c r="G151" s="15"/>
      <c r="H151" s="15"/>
      <c r="I151" s="15"/>
    </row>
    <row r="152" spans="1:9" x14ac:dyDescent="0.25">
      <c r="A152" s="15"/>
      <c r="B152" s="16"/>
      <c r="C152" s="15"/>
      <c r="D152" s="15"/>
      <c r="E152" s="3"/>
      <c r="F152" s="17"/>
      <c r="G152" s="15"/>
      <c r="H152" s="15"/>
      <c r="I152" s="15"/>
    </row>
    <row r="153" spans="1:9" x14ac:dyDescent="0.25">
      <c r="A153" s="15"/>
      <c r="B153" s="16"/>
      <c r="C153" s="15"/>
      <c r="D153" s="15"/>
      <c r="E153" s="3"/>
      <c r="F153" s="17"/>
      <c r="G153" s="15"/>
      <c r="H153" s="15"/>
      <c r="I153" s="15"/>
    </row>
    <row r="154" spans="1:9" x14ac:dyDescent="0.25">
      <c r="A154" s="15"/>
      <c r="B154" s="16"/>
      <c r="C154" s="15"/>
      <c r="D154" s="15"/>
      <c r="E154" s="3"/>
      <c r="F154" s="17"/>
      <c r="G154" s="15"/>
      <c r="H154" s="15"/>
      <c r="I154" s="15"/>
    </row>
    <row r="155" spans="1:9" x14ac:dyDescent="0.25">
      <c r="A155" s="15"/>
      <c r="B155" s="16"/>
      <c r="C155" s="15"/>
      <c r="D155" s="15"/>
      <c r="E155" s="3"/>
      <c r="F155" s="17"/>
      <c r="G155" s="15"/>
      <c r="H155" s="15"/>
      <c r="I155" s="15"/>
    </row>
    <row r="156" spans="1:9" x14ac:dyDescent="0.25">
      <c r="A156" s="15"/>
      <c r="B156" s="16"/>
      <c r="C156" s="15"/>
      <c r="D156" s="15"/>
      <c r="E156" s="3"/>
      <c r="F156" s="17"/>
      <c r="G156" s="15"/>
      <c r="H156" s="15"/>
      <c r="I156" s="15"/>
    </row>
    <row r="157" spans="1:9" x14ac:dyDescent="0.25">
      <c r="A157" s="15"/>
      <c r="B157" s="16"/>
      <c r="C157" s="15"/>
      <c r="D157" s="15"/>
      <c r="E157" s="3"/>
      <c r="F157" s="17"/>
      <c r="G157" s="15"/>
      <c r="H157" s="15"/>
      <c r="I157" s="15"/>
    </row>
    <row r="158" spans="1:9" x14ac:dyDescent="0.25">
      <c r="A158" s="15"/>
      <c r="B158" s="16"/>
      <c r="C158" s="15"/>
      <c r="D158" s="15"/>
      <c r="E158" s="3"/>
      <c r="F158" s="17"/>
      <c r="G158" s="15"/>
      <c r="H158" s="15"/>
      <c r="I158" s="15"/>
    </row>
    <row r="159" spans="1:9" x14ac:dyDescent="0.25">
      <c r="A159" s="15"/>
      <c r="B159" s="16"/>
      <c r="C159" s="15"/>
      <c r="D159" s="15"/>
      <c r="E159" s="3"/>
      <c r="F159" s="17"/>
      <c r="G159" s="15"/>
      <c r="H159" s="15"/>
      <c r="I159" s="15"/>
    </row>
    <row r="160" spans="1:9" x14ac:dyDescent="0.25">
      <c r="A160" s="15"/>
      <c r="B160" s="16"/>
      <c r="C160" s="15"/>
      <c r="D160" s="15"/>
      <c r="E160" s="3"/>
      <c r="F160" s="17"/>
      <c r="G160" s="15"/>
      <c r="H160" s="15"/>
      <c r="I160" s="15"/>
    </row>
    <row r="161" spans="1:9" x14ac:dyDescent="0.25">
      <c r="A161" s="15"/>
      <c r="B161" s="16"/>
      <c r="C161" s="15"/>
      <c r="D161" s="15"/>
      <c r="E161" s="3"/>
      <c r="F161" s="17"/>
      <c r="G161" s="15"/>
      <c r="H161" s="15"/>
      <c r="I161" s="15"/>
    </row>
    <row r="162" spans="1:9" x14ac:dyDescent="0.25">
      <c r="A162" s="15"/>
      <c r="B162" s="16"/>
      <c r="C162" s="15"/>
      <c r="D162" s="15"/>
      <c r="E162" s="3"/>
      <c r="F162" s="17"/>
      <c r="G162" s="15"/>
      <c r="H162" s="15"/>
      <c r="I162" s="15"/>
    </row>
    <row r="163" spans="1:9" x14ac:dyDescent="0.25">
      <c r="A163" s="15"/>
      <c r="B163" s="16"/>
      <c r="C163" s="15"/>
      <c r="D163" s="15"/>
      <c r="E163" s="3"/>
      <c r="F163" s="17"/>
      <c r="G163" s="15"/>
      <c r="H163" s="15"/>
      <c r="I163" s="15"/>
    </row>
    <row r="164" spans="1:9" x14ac:dyDescent="0.25">
      <c r="A164" s="15"/>
      <c r="B164" s="16"/>
      <c r="C164" s="15"/>
      <c r="D164" s="15"/>
      <c r="E164" s="3"/>
      <c r="F164" s="17"/>
      <c r="G164" s="15"/>
      <c r="H164" s="15"/>
      <c r="I164" s="15"/>
    </row>
    <row r="165" spans="1:9" ht="18" x14ac:dyDescent="0.25">
      <c r="A165" s="1" t="s">
        <v>0</v>
      </c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2" t="s">
        <v>1</v>
      </c>
      <c r="B166" s="2"/>
      <c r="C166" s="2"/>
      <c r="D166" s="2"/>
      <c r="E166" s="2"/>
      <c r="F166" s="2"/>
      <c r="G166" s="2"/>
      <c r="H166" s="2"/>
      <c r="I166" s="2"/>
    </row>
    <row r="167" spans="1:9" x14ac:dyDescent="0.25">
      <c r="A167" s="32"/>
      <c r="B167" s="32"/>
      <c r="C167" s="32"/>
      <c r="D167" s="32"/>
      <c r="E167" s="32"/>
      <c r="F167" s="32"/>
      <c r="G167" s="32"/>
      <c r="H167" s="32"/>
      <c r="I167" s="32"/>
    </row>
    <row r="168" spans="1:9" ht="15.75" x14ac:dyDescent="0.25">
      <c r="A168" s="4" t="s">
        <v>88</v>
      </c>
      <c r="B168" s="4"/>
      <c r="C168" s="4"/>
      <c r="D168" s="4"/>
      <c r="E168" s="4"/>
      <c r="F168" s="4"/>
      <c r="G168" s="4"/>
      <c r="H168" s="4"/>
      <c r="I168" s="4"/>
    </row>
    <row r="169" spans="1:9" x14ac:dyDescent="0.25">
      <c r="A169" s="15"/>
      <c r="B169" s="16"/>
      <c r="C169" s="15"/>
      <c r="D169" s="15"/>
      <c r="E169" s="3"/>
      <c r="F169" s="17"/>
      <c r="G169" s="15"/>
      <c r="H169" s="15"/>
      <c r="I169" s="15"/>
    </row>
    <row r="170" spans="1:9" x14ac:dyDescent="0.25">
      <c r="A170" s="15"/>
      <c r="B170" s="16"/>
      <c r="C170" s="15"/>
      <c r="D170" s="15"/>
      <c r="E170" s="3"/>
      <c r="F170" s="7">
        <v>43830</v>
      </c>
      <c r="G170" s="8" t="s">
        <v>4</v>
      </c>
      <c r="H170" s="7">
        <v>43465</v>
      </c>
      <c r="I170" s="8" t="s">
        <v>4</v>
      </c>
    </row>
    <row r="171" spans="1:9" x14ac:dyDescent="0.25">
      <c r="A171" s="35"/>
      <c r="B171" s="29"/>
      <c r="C171" s="9"/>
      <c r="D171" s="9"/>
      <c r="E171" s="10"/>
      <c r="F171" s="29"/>
      <c r="G171" s="8"/>
      <c r="H171" s="29"/>
      <c r="I171" s="8"/>
    </row>
    <row r="172" spans="1:9" x14ac:dyDescent="0.25">
      <c r="A172" s="9" t="s">
        <v>89</v>
      </c>
      <c r="B172" s="9"/>
      <c r="C172" s="9"/>
      <c r="D172" s="9"/>
      <c r="E172" s="9"/>
      <c r="F172" s="36">
        <f>F174+F175+F176+F181+F184+F183</f>
        <v>41319599.259999998</v>
      </c>
      <c r="G172" s="13">
        <f>F172/F172*100</f>
        <v>100</v>
      </c>
      <c r="H172" s="36">
        <v>38911781.25</v>
      </c>
      <c r="I172" s="13">
        <f>H172/H172*100</f>
        <v>100</v>
      </c>
    </row>
    <row r="173" spans="1:9" x14ac:dyDescent="0.25">
      <c r="A173" s="9" t="s">
        <v>90</v>
      </c>
      <c r="B173" s="9"/>
      <c r="C173" s="9"/>
      <c r="D173" s="9"/>
      <c r="E173" s="9"/>
      <c r="F173" s="36">
        <f>F174+F175+F176+F181+F183</f>
        <v>26495699.110000003</v>
      </c>
      <c r="G173" s="13"/>
      <c r="H173" s="36">
        <v>25644624.470000003</v>
      </c>
      <c r="I173" s="13"/>
    </row>
    <row r="174" spans="1:9" x14ac:dyDescent="0.25">
      <c r="A174" s="31"/>
      <c r="B174" s="22" t="s">
        <v>91</v>
      </c>
      <c r="C174" s="15"/>
      <c r="D174" s="15"/>
      <c r="E174" s="15"/>
      <c r="F174" s="28">
        <v>11116822.699999999</v>
      </c>
      <c r="G174" s="16">
        <f>F174/F$172*100</f>
        <v>26.90447850195341</v>
      </c>
      <c r="H174" s="28">
        <v>10575847.08</v>
      </c>
      <c r="I174" s="16">
        <f>H174/H$172*100</f>
        <v>27.179036117756755</v>
      </c>
    </row>
    <row r="175" spans="1:9" x14ac:dyDescent="0.25">
      <c r="A175" s="31"/>
      <c r="B175" s="22" t="s">
        <v>92</v>
      </c>
      <c r="C175" s="15"/>
      <c r="D175" s="15"/>
      <c r="E175" s="15"/>
      <c r="F175" s="28">
        <v>2109367.52</v>
      </c>
      <c r="G175" s="16">
        <f>F175/F$172*100</f>
        <v>5.1050047865348063</v>
      </c>
      <c r="H175" s="28">
        <v>2141068.0499999998</v>
      </c>
      <c r="I175" s="16">
        <f>H175/H$172*100</f>
        <v>5.5023645313075971</v>
      </c>
    </row>
    <row r="176" spans="1:9" x14ac:dyDescent="0.25">
      <c r="A176" s="31"/>
      <c r="B176" s="15" t="s">
        <v>93</v>
      </c>
      <c r="C176" s="15"/>
      <c r="D176" s="15"/>
      <c r="E176" s="15"/>
      <c r="F176" s="28">
        <f>SUM(F177:F180)</f>
        <v>9632031.4500000011</v>
      </c>
      <c r="G176" s="16">
        <f>F176/F$172*100</f>
        <v>23.311047596060352</v>
      </c>
      <c r="H176" s="28">
        <v>10231154.690000001</v>
      </c>
      <c r="I176" s="16">
        <f>H176/H$172*100</f>
        <v>26.293205711316546</v>
      </c>
    </row>
    <row r="177" spans="1:9" x14ac:dyDescent="0.25">
      <c r="A177" s="31"/>
      <c r="B177" s="15"/>
      <c r="C177" s="15" t="s">
        <v>94</v>
      </c>
      <c r="D177" s="15"/>
      <c r="E177" s="15"/>
      <c r="F177" s="28">
        <v>3548735.43</v>
      </c>
      <c r="G177" s="16"/>
      <c r="H177" s="28">
        <v>3807519.75</v>
      </c>
      <c r="I177" s="16"/>
    </row>
    <row r="178" spans="1:9" x14ac:dyDescent="0.25">
      <c r="A178" s="31"/>
      <c r="B178" s="15"/>
      <c r="C178" s="15" t="s">
        <v>95</v>
      </c>
      <c r="D178" s="15"/>
      <c r="E178" s="15"/>
      <c r="F178" s="28">
        <v>3270222.85</v>
      </c>
      <c r="G178" s="16"/>
      <c r="H178" s="28">
        <v>3359568.8</v>
      </c>
      <c r="I178" s="16"/>
    </row>
    <row r="179" spans="1:9" x14ac:dyDescent="0.25">
      <c r="A179" s="31"/>
      <c r="B179" s="15"/>
      <c r="C179" s="15" t="s">
        <v>96</v>
      </c>
      <c r="D179" s="15"/>
      <c r="E179" s="15"/>
      <c r="F179" s="28">
        <v>1865660.37</v>
      </c>
      <c r="G179" s="16"/>
      <c r="H179" s="28">
        <v>1921295.77</v>
      </c>
      <c r="I179" s="16"/>
    </row>
    <row r="180" spans="1:9" x14ac:dyDescent="0.25">
      <c r="A180" s="31"/>
      <c r="B180" s="15"/>
      <c r="C180" s="15" t="s">
        <v>97</v>
      </c>
      <c r="D180" s="15"/>
      <c r="E180" s="15"/>
      <c r="F180" s="28">
        <v>947412.8</v>
      </c>
      <c r="G180" s="16"/>
      <c r="H180" s="28">
        <v>1142770.3700000001</v>
      </c>
      <c r="I180" s="16"/>
    </row>
    <row r="181" spans="1:9" x14ac:dyDescent="0.25">
      <c r="A181" s="31"/>
      <c r="B181" s="15" t="s">
        <v>98</v>
      </c>
      <c r="C181" s="15"/>
      <c r="D181" s="15"/>
      <c r="E181" s="15"/>
      <c r="F181" s="28">
        <v>2038777.25</v>
      </c>
      <c r="G181" s="16">
        <f>F181/F$172*100</f>
        <v>4.9341651093254093</v>
      </c>
      <c r="H181" s="28">
        <v>1969882.55</v>
      </c>
      <c r="I181" s="16">
        <f>H181/H$172*100</f>
        <v>5.0624322164640052</v>
      </c>
    </row>
    <row r="182" spans="1:9" x14ac:dyDescent="0.25">
      <c r="A182" s="31"/>
      <c r="B182" s="15" t="s">
        <v>99</v>
      </c>
      <c r="C182" s="15"/>
      <c r="D182" s="15"/>
      <c r="E182" s="15"/>
      <c r="F182" s="28">
        <v>-63163.7</v>
      </c>
      <c r="G182" s="16">
        <f>F182/F$172*100</f>
        <v>-0.15286619698934611</v>
      </c>
      <c r="H182" s="28">
        <v>-154903.63</v>
      </c>
      <c r="I182" s="16">
        <f>H182/H$172*100</f>
        <v>-0.39808928047980324</v>
      </c>
    </row>
    <row r="183" spans="1:9" x14ac:dyDescent="0.25">
      <c r="A183" s="31"/>
      <c r="B183" s="15" t="s">
        <v>100</v>
      </c>
      <c r="C183" s="15"/>
      <c r="D183" s="15"/>
      <c r="E183" s="15"/>
      <c r="F183" s="28">
        <v>1598700.19</v>
      </c>
      <c r="G183" s="16">
        <f>F183/F$172*100</f>
        <v>3.8691086521442708</v>
      </c>
      <c r="H183" s="28">
        <v>726672.1</v>
      </c>
      <c r="I183" s="16">
        <f>H183/H$172*100</f>
        <v>1.8674860843076926</v>
      </c>
    </row>
    <row r="184" spans="1:9" x14ac:dyDescent="0.25">
      <c r="A184" s="9" t="s">
        <v>101</v>
      </c>
      <c r="B184" s="17"/>
      <c r="C184" s="17"/>
      <c r="D184" s="17"/>
      <c r="E184" s="17"/>
      <c r="F184" s="13">
        <f>F185</f>
        <v>14823900.15</v>
      </c>
      <c r="G184" s="16">
        <f>F184/F$172*100</f>
        <v>35.876195353981757</v>
      </c>
      <c r="H184" s="13">
        <v>13267156.779999999</v>
      </c>
      <c r="I184" s="16">
        <f>H184/H$172*100</f>
        <v>34.095475338847407</v>
      </c>
    </row>
    <row r="185" spans="1:9" x14ac:dyDescent="0.25">
      <c r="A185" s="31"/>
      <c r="B185" s="15" t="s">
        <v>102</v>
      </c>
      <c r="C185" s="15"/>
      <c r="D185" s="15"/>
      <c r="E185" s="15"/>
      <c r="F185" s="28">
        <v>14823900.15</v>
      </c>
      <c r="G185" s="16"/>
      <c r="H185" s="28">
        <v>13267156.779999999</v>
      </c>
      <c r="I185" s="16"/>
    </row>
    <row r="186" spans="1:9" x14ac:dyDescent="0.25">
      <c r="A186" s="9" t="s">
        <v>103</v>
      </c>
      <c r="B186" s="17"/>
      <c r="C186" s="17"/>
      <c r="D186" s="17"/>
      <c r="E186" s="17"/>
      <c r="F186" s="36">
        <f>F172+F182</f>
        <v>41256435.559999995</v>
      </c>
      <c r="G186" s="16">
        <f>F186/F$172*100</f>
        <v>99.847133803010649</v>
      </c>
      <c r="H186" s="36">
        <v>38756877.619999997</v>
      </c>
      <c r="I186" s="16">
        <f>H186/H$172*100</f>
        <v>99.601910719520191</v>
      </c>
    </row>
    <row r="187" spans="1:9" x14ac:dyDescent="0.25">
      <c r="A187" s="9" t="s">
        <v>104</v>
      </c>
      <c r="B187" s="9"/>
      <c r="C187" s="9"/>
      <c r="D187" s="9"/>
      <c r="E187" s="9"/>
      <c r="F187" s="36">
        <f>F188+F191+F194+F195+F196+F197</f>
        <v>43179311.43</v>
      </c>
      <c r="G187" s="12">
        <f>F187/F$172*100</f>
        <v>104.50079914448813</v>
      </c>
      <c r="H187" s="36">
        <v>40990229.300000004</v>
      </c>
      <c r="I187" s="12">
        <f>H187/H$172*100</f>
        <v>105.34143640622982</v>
      </c>
    </row>
    <row r="188" spans="1:9" x14ac:dyDescent="0.25">
      <c r="A188" s="31"/>
      <c r="B188" s="17" t="s">
        <v>105</v>
      </c>
      <c r="C188" s="17"/>
      <c r="D188" s="17"/>
      <c r="E188" s="17"/>
      <c r="F188" s="13">
        <f>F189+F190</f>
        <v>16494885.550000001</v>
      </c>
      <c r="G188" s="12">
        <f>F188/F$172*100</f>
        <v>39.920245707629846</v>
      </c>
      <c r="H188" s="13">
        <v>15750391</v>
      </c>
      <c r="I188" s="12">
        <f>H188/H$172*100</f>
        <v>40.477178103996458</v>
      </c>
    </row>
    <row r="189" spans="1:9" x14ac:dyDescent="0.25">
      <c r="A189" s="31"/>
      <c r="B189" s="15"/>
      <c r="C189" s="15" t="s">
        <v>106</v>
      </c>
      <c r="D189" s="15"/>
      <c r="E189" s="15"/>
      <c r="F189" s="28">
        <v>15255723.630000001</v>
      </c>
      <c r="G189" s="16"/>
      <c r="H189" s="28">
        <v>14552937.279999999</v>
      </c>
      <c r="I189" s="16"/>
    </row>
    <row r="190" spans="1:9" x14ac:dyDescent="0.25">
      <c r="A190" s="9"/>
      <c r="B190" s="17"/>
      <c r="C190" s="15" t="s">
        <v>107</v>
      </c>
      <c r="D190" s="15"/>
      <c r="E190" s="15"/>
      <c r="F190" s="28">
        <v>1239161.92</v>
      </c>
      <c r="G190" s="16"/>
      <c r="H190" s="28">
        <v>1197453.72</v>
      </c>
      <c r="I190" s="16"/>
    </row>
    <row r="191" spans="1:9" x14ac:dyDescent="0.25">
      <c r="A191" s="31"/>
      <c r="B191" s="17" t="s">
        <v>108</v>
      </c>
      <c r="C191" s="17"/>
      <c r="D191" s="17"/>
      <c r="E191" s="17"/>
      <c r="F191" s="13">
        <f>F192+F193</f>
        <v>14074004.050000001</v>
      </c>
      <c r="G191" s="12">
        <f>F191/F$172*100</f>
        <v>34.061327558964329</v>
      </c>
      <c r="H191" s="13">
        <v>13719986.07</v>
      </c>
      <c r="I191" s="12">
        <f>H191/H$172*100</f>
        <v>35.2592084691574</v>
      </c>
    </row>
    <row r="192" spans="1:9" x14ac:dyDescent="0.25">
      <c r="A192" s="31"/>
      <c r="B192" s="15"/>
      <c r="C192" s="15" t="s">
        <v>109</v>
      </c>
      <c r="D192" s="15"/>
      <c r="E192" s="15"/>
      <c r="F192" s="28">
        <v>6311224.3899999997</v>
      </c>
      <c r="G192" s="16"/>
      <c r="H192" s="28">
        <v>6146757.5499999998</v>
      </c>
      <c r="I192" s="16"/>
    </row>
    <row r="193" spans="1:9" x14ac:dyDescent="0.25">
      <c r="A193" s="9"/>
      <c r="B193" s="17"/>
      <c r="C193" s="15" t="s">
        <v>110</v>
      </c>
      <c r="D193" s="15"/>
      <c r="E193" s="15"/>
      <c r="F193" s="28">
        <v>7762779.6600000001</v>
      </c>
      <c r="G193" s="16"/>
      <c r="H193" s="28">
        <v>7573228.5199999996</v>
      </c>
      <c r="I193" s="16"/>
    </row>
    <row r="194" spans="1:9" x14ac:dyDescent="0.25">
      <c r="A194" s="31"/>
      <c r="B194" s="17" t="s">
        <v>111</v>
      </c>
      <c r="C194" s="17"/>
      <c r="D194" s="17"/>
      <c r="E194" s="17"/>
      <c r="F194" s="13">
        <v>8402333.9700000007</v>
      </c>
      <c r="G194" s="12">
        <f>F194/F$172*100</f>
        <v>20.334984173319405</v>
      </c>
      <c r="H194" s="13">
        <v>7668913.7599999998</v>
      </c>
      <c r="I194" s="12">
        <f>H194/H$172*100</f>
        <v>19.708462356757313</v>
      </c>
    </row>
    <row r="195" spans="1:9" x14ac:dyDescent="0.25">
      <c r="A195" s="9"/>
      <c r="B195" s="17" t="s">
        <v>112</v>
      </c>
      <c r="C195" s="17"/>
      <c r="D195" s="17"/>
      <c r="E195" s="17"/>
      <c r="F195" s="13">
        <v>1298254.58</v>
      </c>
      <c r="G195" s="12">
        <f>F195/F$172*100</f>
        <v>3.1419825052775701</v>
      </c>
      <c r="H195" s="13">
        <v>1091162.3400000001</v>
      </c>
      <c r="I195" s="12">
        <f>H195/H$172*100</f>
        <v>2.8041952975360132</v>
      </c>
    </row>
    <row r="196" spans="1:9" x14ac:dyDescent="0.25">
      <c r="A196" s="31"/>
      <c r="B196" s="17" t="s">
        <v>113</v>
      </c>
      <c r="C196" s="17"/>
      <c r="D196" s="17"/>
      <c r="E196" s="17"/>
      <c r="F196" s="13">
        <v>339753.03</v>
      </c>
      <c r="G196" s="12">
        <f>F196/F$172*100</f>
        <v>0.82225635312223999</v>
      </c>
      <c r="H196" s="13">
        <v>236895.93</v>
      </c>
      <c r="I196" s="12">
        <f>H196/H$172*100</f>
        <v>0.60880258469277859</v>
      </c>
    </row>
    <row r="197" spans="1:9" x14ac:dyDescent="0.25">
      <c r="A197" s="31"/>
      <c r="B197" s="17" t="s">
        <v>114</v>
      </c>
      <c r="C197" s="17"/>
      <c r="D197" s="17"/>
      <c r="E197" s="17"/>
      <c r="F197" s="13">
        <f>F198+F199+F202+F203+F200+F201</f>
        <v>2570080.2500000005</v>
      </c>
      <c r="G197" s="12">
        <f>F197/F$172*100</f>
        <v>6.220002846174749</v>
      </c>
      <c r="H197" s="13">
        <v>2522880.2000000002</v>
      </c>
      <c r="I197" s="12">
        <f>H197/H$172*100</f>
        <v>6.4835895940898363</v>
      </c>
    </row>
    <row r="198" spans="1:9" x14ac:dyDescent="0.25">
      <c r="A198" s="9"/>
      <c r="B198" s="17"/>
      <c r="C198" s="15" t="s">
        <v>115</v>
      </c>
      <c r="D198" s="15"/>
      <c r="E198" s="15"/>
      <c r="F198" s="28">
        <v>906891.39</v>
      </c>
      <c r="G198" s="12"/>
      <c r="H198" s="28">
        <v>819846.85</v>
      </c>
      <c r="I198" s="12"/>
    </row>
    <row r="199" spans="1:9" x14ac:dyDescent="0.25">
      <c r="A199" s="9"/>
      <c r="B199" s="17"/>
      <c r="C199" s="15" t="s">
        <v>116</v>
      </c>
      <c r="D199" s="15"/>
      <c r="E199" s="15"/>
      <c r="F199" s="28">
        <v>11013.5</v>
      </c>
      <c r="G199" s="16"/>
      <c r="H199" s="28">
        <v>10847.06</v>
      </c>
      <c r="I199" s="16"/>
    </row>
    <row r="200" spans="1:9" x14ac:dyDescent="0.25">
      <c r="A200" s="9"/>
      <c r="B200" s="17"/>
      <c r="C200" s="15" t="s">
        <v>117</v>
      </c>
      <c r="D200" s="15"/>
      <c r="E200" s="15"/>
      <c r="F200" s="28">
        <v>1075633.21</v>
      </c>
      <c r="G200" s="16"/>
      <c r="H200" s="28">
        <v>1003787.84</v>
      </c>
      <c r="I200" s="16"/>
    </row>
    <row r="201" spans="1:9" x14ac:dyDescent="0.25">
      <c r="A201" s="9"/>
      <c r="B201" s="17"/>
      <c r="C201" s="15" t="s">
        <v>118</v>
      </c>
      <c r="D201" s="15"/>
      <c r="E201" s="15"/>
      <c r="F201" s="28">
        <v>346608.93</v>
      </c>
      <c r="G201" s="16"/>
      <c r="H201" s="28">
        <v>432074.16</v>
      </c>
      <c r="I201" s="16"/>
    </row>
    <row r="202" spans="1:9" x14ac:dyDescent="0.25">
      <c r="A202" s="31"/>
      <c r="B202" s="15"/>
      <c r="C202" s="15" t="s">
        <v>119</v>
      </c>
      <c r="D202" s="15"/>
      <c r="E202" s="15"/>
      <c r="F202" s="28">
        <f>216059.08-18.6</f>
        <v>216040.47999999998</v>
      </c>
      <c r="G202" s="16"/>
      <c r="H202" s="28">
        <v>235049.09</v>
      </c>
      <c r="I202" s="16"/>
    </row>
    <row r="203" spans="1:9" x14ac:dyDescent="0.25">
      <c r="A203" s="31"/>
      <c r="B203" s="15"/>
      <c r="C203" s="15" t="s">
        <v>120</v>
      </c>
      <c r="D203" s="15"/>
      <c r="E203" s="15"/>
      <c r="F203" s="28">
        <v>13892.74</v>
      </c>
      <c r="G203" s="16"/>
      <c r="H203" s="28">
        <v>21275.200000000001</v>
      </c>
      <c r="I203" s="16"/>
    </row>
    <row r="204" spans="1:9" x14ac:dyDescent="0.25">
      <c r="A204" s="9" t="s">
        <v>121</v>
      </c>
      <c r="B204" s="9"/>
      <c r="C204" s="9"/>
      <c r="D204" s="9"/>
      <c r="E204" s="9"/>
      <c r="F204" s="36">
        <f>F186-F187</f>
        <v>-1922875.8700000048</v>
      </c>
      <c r="G204" s="12">
        <f>F204/F$172*100</f>
        <v>-4.6536653414774785</v>
      </c>
      <c r="H204" s="36">
        <v>-2233351.6800000072</v>
      </c>
      <c r="I204" s="12">
        <f>H204/H$172*100</f>
        <v>-5.7395256867096185</v>
      </c>
    </row>
    <row r="205" spans="1:9" x14ac:dyDescent="0.25">
      <c r="A205" s="9" t="s">
        <v>122</v>
      </c>
      <c r="B205" s="9"/>
      <c r="C205" s="9"/>
      <c r="D205" s="9"/>
      <c r="E205" s="9"/>
      <c r="F205" s="36">
        <f>[2]Plan2!$F$21</f>
        <v>4077300.91946</v>
      </c>
      <c r="G205" s="12"/>
      <c r="H205" s="36">
        <v>3864643.8603599994</v>
      </c>
      <c r="I205" s="12"/>
    </row>
    <row r="206" spans="1:9" x14ac:dyDescent="0.25">
      <c r="A206" s="9" t="s">
        <v>123</v>
      </c>
      <c r="B206" s="9"/>
      <c r="C206" s="9"/>
      <c r="D206" s="9"/>
      <c r="E206" s="9"/>
      <c r="F206" s="36">
        <f>-F205</f>
        <v>-4077300.91946</v>
      </c>
      <c r="G206" s="12"/>
      <c r="H206" s="36">
        <v>-3864643.8603599994</v>
      </c>
      <c r="I206" s="12"/>
    </row>
    <row r="207" spans="1:9" x14ac:dyDescent="0.25">
      <c r="A207" s="9" t="s">
        <v>124</v>
      </c>
      <c r="B207" s="9"/>
      <c r="C207" s="9"/>
      <c r="D207" s="9"/>
      <c r="E207" s="9"/>
      <c r="F207" s="36">
        <f>SUM(F208:F215)</f>
        <v>5677205.1399999997</v>
      </c>
      <c r="G207" s="12">
        <f>F207/F$172*100</f>
        <v>13.739739110916052</v>
      </c>
      <c r="H207" s="36">
        <v>4073527.2</v>
      </c>
      <c r="I207" s="12">
        <f>H207/H$172*100</f>
        <v>10.468621762207302</v>
      </c>
    </row>
    <row r="208" spans="1:9" x14ac:dyDescent="0.25">
      <c r="A208" s="31"/>
      <c r="B208" s="15" t="s">
        <v>125</v>
      </c>
      <c r="C208" s="15"/>
      <c r="D208" s="15"/>
      <c r="E208" s="15"/>
      <c r="F208" s="28">
        <v>60732.52</v>
      </c>
      <c r="G208" s="12"/>
      <c r="H208" s="28">
        <v>67484.850000000006</v>
      </c>
      <c r="I208" s="12"/>
    </row>
    <row r="209" spans="1:9" x14ac:dyDescent="0.25">
      <c r="A209" s="31"/>
      <c r="B209" s="15" t="s">
        <v>126</v>
      </c>
      <c r="C209" s="15"/>
      <c r="D209" s="15"/>
      <c r="E209" s="15"/>
      <c r="F209" s="28">
        <v>0</v>
      </c>
      <c r="G209" s="12"/>
      <c r="H209" s="28">
        <v>750670</v>
      </c>
      <c r="I209" s="12"/>
    </row>
    <row r="210" spans="1:9" x14ac:dyDescent="0.25">
      <c r="A210" s="31"/>
      <c r="B210" s="15" t="s">
        <v>127</v>
      </c>
      <c r="C210" s="15"/>
      <c r="D210" s="15"/>
      <c r="E210" s="15"/>
      <c r="F210" s="28">
        <v>257912.31</v>
      </c>
      <c r="G210" s="16"/>
      <c r="H210" s="28">
        <v>293632.13</v>
      </c>
      <c r="I210" s="16"/>
    </row>
    <row r="211" spans="1:9" x14ac:dyDescent="0.25">
      <c r="A211" s="31"/>
      <c r="B211" s="15" t="s">
        <v>128</v>
      </c>
      <c r="C211" s="15"/>
      <c r="D211" s="15"/>
      <c r="E211" s="15"/>
      <c r="F211" s="28">
        <v>1916395.01</v>
      </c>
      <c r="G211" s="16"/>
      <c r="H211" s="28">
        <v>1290776.28</v>
      </c>
      <c r="I211" s="16"/>
    </row>
    <row r="212" spans="1:9" x14ac:dyDescent="0.25">
      <c r="A212" s="31"/>
      <c r="B212" s="37" t="s">
        <v>129</v>
      </c>
      <c r="C212" s="37"/>
      <c r="D212" s="37"/>
      <c r="E212" s="15"/>
      <c r="F212" s="28">
        <v>1199755.27</v>
      </c>
      <c r="G212" s="16"/>
      <c r="H212" s="28">
        <v>1090057.6000000001</v>
      </c>
      <c r="I212" s="16"/>
    </row>
    <row r="213" spans="1:9" x14ac:dyDescent="0.25">
      <c r="A213" s="31"/>
      <c r="B213" s="15" t="s">
        <v>130</v>
      </c>
      <c r="C213" s="15"/>
      <c r="D213" s="26"/>
      <c r="E213" s="15"/>
      <c r="F213" s="28">
        <v>1676699.95</v>
      </c>
      <c r="G213" s="16"/>
      <c r="H213" s="28">
        <v>0</v>
      </c>
      <c r="I213" s="16"/>
    </row>
    <row r="214" spans="1:9" x14ac:dyDescent="0.25">
      <c r="A214" s="31"/>
      <c r="B214" s="15" t="s">
        <v>131</v>
      </c>
      <c r="C214" s="15"/>
      <c r="D214" s="26"/>
      <c r="E214" s="15"/>
      <c r="F214" s="28">
        <v>304280.68</v>
      </c>
      <c r="G214" s="16"/>
      <c r="H214" s="28">
        <v>279508.14</v>
      </c>
      <c r="I214" s="16"/>
    </row>
    <row r="215" spans="1:9" x14ac:dyDescent="0.25">
      <c r="A215" s="31"/>
      <c r="B215" s="15" t="s">
        <v>132</v>
      </c>
      <c r="C215" s="15"/>
      <c r="D215" s="15"/>
      <c r="E215" s="15"/>
      <c r="F215" s="28">
        <v>261429.4</v>
      </c>
      <c r="G215" s="12"/>
      <c r="H215" s="28">
        <v>301398.2</v>
      </c>
      <c r="I215" s="12"/>
    </row>
    <row r="216" spans="1:9" x14ac:dyDescent="0.25">
      <c r="A216" s="9" t="s">
        <v>133</v>
      </c>
      <c r="B216" s="9"/>
      <c r="C216" s="9"/>
      <c r="D216" s="9"/>
      <c r="E216" s="9"/>
      <c r="F216" s="36">
        <f>F217</f>
        <v>34680.639999999999</v>
      </c>
      <c r="G216" s="16"/>
      <c r="H216" s="36">
        <v>137454.93</v>
      </c>
      <c r="I216" s="16"/>
    </row>
    <row r="217" spans="1:9" x14ac:dyDescent="0.25">
      <c r="A217" s="31"/>
      <c r="B217" s="15" t="s">
        <v>134</v>
      </c>
      <c r="C217" s="15"/>
      <c r="D217" s="15"/>
      <c r="E217" s="15"/>
      <c r="F217" s="28">
        <v>34680.639999999999</v>
      </c>
      <c r="G217" s="16"/>
      <c r="H217" s="28">
        <v>137454.93</v>
      </c>
      <c r="I217" s="16"/>
    </row>
    <row r="218" spans="1:9" x14ac:dyDescent="0.25">
      <c r="A218" s="9" t="s">
        <v>135</v>
      </c>
      <c r="B218" s="9"/>
      <c r="C218" s="9"/>
      <c r="D218" s="9"/>
      <c r="E218" s="9"/>
      <c r="F218" s="36">
        <f>F219</f>
        <v>3240084.43</v>
      </c>
      <c r="G218" s="12">
        <f>F218/F$172*100</f>
        <v>7.8415194920261682</v>
      </c>
      <c r="H218" s="36">
        <v>2469766.2599999998</v>
      </c>
      <c r="I218" s="12">
        <f>H218/H$172*100</f>
        <v>6.347091242449868</v>
      </c>
    </row>
    <row r="219" spans="1:9" x14ac:dyDescent="0.25">
      <c r="A219" s="31"/>
      <c r="B219" s="15" t="s">
        <v>136</v>
      </c>
      <c r="C219" s="15"/>
      <c r="D219" s="15"/>
      <c r="E219" s="15"/>
      <c r="F219" s="16">
        <v>3240084.43</v>
      </c>
      <c r="G219" s="28"/>
      <c r="H219" s="16">
        <v>2469766.2599999998</v>
      </c>
      <c r="I219" s="28"/>
    </row>
    <row r="220" spans="1:9" x14ac:dyDescent="0.25">
      <c r="A220" s="9" t="s">
        <v>137</v>
      </c>
      <c r="B220" s="9"/>
      <c r="C220" s="9"/>
      <c r="D220" s="9"/>
      <c r="E220" s="9"/>
      <c r="F220" s="29">
        <f>F221</f>
        <v>308227.39</v>
      </c>
      <c r="G220" s="12">
        <f>F220/F$172*100</f>
        <v>0.74595929176492215</v>
      </c>
      <c r="H220" s="29">
        <v>108889.58</v>
      </c>
      <c r="I220" s="12">
        <f>H220/H$172*100</f>
        <v>0.27983704806625886</v>
      </c>
    </row>
    <row r="221" spans="1:9" x14ac:dyDescent="0.25">
      <c r="A221" s="9"/>
      <c r="B221" s="15" t="s">
        <v>138</v>
      </c>
      <c r="C221" s="15"/>
      <c r="D221" s="15"/>
      <c r="E221" s="15"/>
      <c r="F221" s="16">
        <v>308227.39</v>
      </c>
      <c r="G221" s="28"/>
      <c r="H221" s="16">
        <v>108889.58</v>
      </c>
      <c r="I221" s="28"/>
    </row>
    <row r="222" spans="1:9" x14ac:dyDescent="0.25">
      <c r="A222" s="9" t="s">
        <v>139</v>
      </c>
      <c r="B222" s="9"/>
      <c r="C222" s="9"/>
      <c r="D222" s="9"/>
      <c r="E222" s="9"/>
      <c r="F222" s="29">
        <f>(F204-F218)+F207+F220-F216</f>
        <v>787791.58999999519</v>
      </c>
      <c r="G222" s="12">
        <f>F222/F$172*100</f>
        <v>1.9065809061769572</v>
      </c>
      <c r="H222" s="29">
        <v>-658156.09000000672</v>
      </c>
      <c r="I222" s="12">
        <f>H222/H$172*100</f>
        <v>-1.6914057101922226</v>
      </c>
    </row>
    <row r="223" spans="1:9" x14ac:dyDescent="0.25">
      <c r="A223" s="31"/>
      <c r="B223" s="16"/>
      <c r="C223" s="15"/>
      <c r="D223" s="15"/>
      <c r="E223" s="3"/>
      <c r="F223" s="29"/>
      <c r="G223" s="21"/>
      <c r="H223" s="16"/>
      <c r="I223" s="21"/>
    </row>
    <row r="224" spans="1:9" x14ac:dyDescent="0.25">
      <c r="A224" s="15"/>
      <c r="B224" s="16"/>
      <c r="C224" s="15"/>
      <c r="D224" s="15"/>
      <c r="E224" s="3"/>
      <c r="F224" s="33"/>
      <c r="G224" s="21"/>
      <c r="H224" s="21"/>
      <c r="I224" s="21"/>
    </row>
    <row r="225" spans="1:9" x14ac:dyDescent="0.25">
      <c r="A225" s="25" t="s">
        <v>60</v>
      </c>
      <c r="B225" s="25"/>
      <c r="C225" s="25"/>
      <c r="D225" s="25"/>
      <c r="E225" s="25"/>
      <c r="F225" s="25"/>
      <c r="G225" s="25"/>
      <c r="H225" s="25"/>
      <c r="I225" s="25"/>
    </row>
    <row r="226" spans="1:9" x14ac:dyDescent="0.25">
      <c r="A226" s="15"/>
      <c r="B226" s="15"/>
      <c r="C226" s="15"/>
      <c r="D226" s="15"/>
      <c r="E226" s="15"/>
      <c r="F226" s="15"/>
      <c r="G226" s="15"/>
      <c r="H226" s="15"/>
      <c r="I226" s="15"/>
    </row>
    <row r="227" spans="1:9" x14ac:dyDescent="0.25">
      <c r="A227" s="15"/>
      <c r="B227" s="16"/>
      <c r="C227" s="15"/>
      <c r="D227" s="15"/>
      <c r="E227" s="3"/>
      <c r="F227" s="17"/>
      <c r="G227" s="15"/>
      <c r="H227" s="15"/>
      <c r="I227" s="15"/>
    </row>
    <row r="228" spans="1:9" x14ac:dyDescent="0.25">
      <c r="A228" s="15"/>
      <c r="B228" s="16"/>
      <c r="C228" s="3" t="s">
        <v>61</v>
      </c>
      <c r="D228" s="15"/>
      <c r="E228" s="3"/>
      <c r="F228" s="26"/>
      <c r="G228" s="25" t="s">
        <v>62</v>
      </c>
      <c r="H228" s="25"/>
      <c r="I228" s="8"/>
    </row>
    <row r="229" spans="1:9" x14ac:dyDescent="0.25">
      <c r="A229" s="15"/>
      <c r="B229" s="16"/>
      <c r="C229" s="3" t="s">
        <v>63</v>
      </c>
      <c r="D229" s="15"/>
      <c r="E229" s="3"/>
      <c r="F229" s="27"/>
      <c r="G229" s="25" t="s">
        <v>64</v>
      </c>
      <c r="H229" s="25"/>
      <c r="I229" s="8"/>
    </row>
    <row r="230" spans="1:9" x14ac:dyDescent="0.25">
      <c r="A230" s="15"/>
      <c r="B230" s="16"/>
      <c r="C230" s="28" t="s">
        <v>65</v>
      </c>
      <c r="D230" s="15"/>
      <c r="E230" s="3"/>
      <c r="F230" s="27"/>
      <c r="G230" s="25" t="s">
        <v>66</v>
      </c>
      <c r="H230" s="25"/>
      <c r="I230" s="8"/>
    </row>
  </sheetData>
  <mergeCells count="31">
    <mergeCell ref="A168:I168"/>
    <mergeCell ref="B212:D212"/>
    <mergeCell ref="A225:I225"/>
    <mergeCell ref="G228:H228"/>
    <mergeCell ref="G229:H229"/>
    <mergeCell ref="G230:H230"/>
    <mergeCell ref="B137:C137"/>
    <mergeCell ref="G137:H137"/>
    <mergeCell ref="B138:C138"/>
    <mergeCell ref="G138:H138"/>
    <mergeCell ref="A165:I165"/>
    <mergeCell ref="A166:I166"/>
    <mergeCell ref="A112:I112"/>
    <mergeCell ref="G115:H115"/>
    <mergeCell ref="G116:H116"/>
    <mergeCell ref="G117:H117"/>
    <mergeCell ref="A133:I133"/>
    <mergeCell ref="B136:C136"/>
    <mergeCell ref="G136:H136"/>
    <mergeCell ref="G68:H68"/>
    <mergeCell ref="G69:H69"/>
    <mergeCell ref="A82:I82"/>
    <mergeCell ref="A83:I83"/>
    <mergeCell ref="A85:I85"/>
    <mergeCell ref="A87:E87"/>
    <mergeCell ref="A1:I1"/>
    <mergeCell ref="A2:I2"/>
    <mergeCell ref="A4:I4"/>
    <mergeCell ref="A6:E6"/>
    <mergeCell ref="A66:I66"/>
    <mergeCell ref="G67:H67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I51"/>
  <sheetViews>
    <sheetView topLeftCell="A34" workbookViewId="0">
      <selection activeCell="G3" sqref="G1:G1048576"/>
    </sheetView>
  </sheetViews>
  <sheetFormatPr defaultRowHeight="15" x14ac:dyDescent="0.25"/>
  <cols>
    <col min="6" max="7" width="15.7109375" bestFit="1" customWidth="1"/>
    <col min="8" max="8" width="22.5703125" bestFit="1" customWidth="1"/>
  </cols>
  <sheetData>
    <row r="1" spans="1:9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x14ac:dyDescent="0.25">
      <c r="A3" s="32"/>
      <c r="B3" s="32"/>
      <c r="C3" s="32"/>
      <c r="D3" s="32"/>
      <c r="E3" s="32"/>
      <c r="F3" s="32"/>
      <c r="G3" s="32"/>
      <c r="H3" s="32"/>
      <c r="I3" s="32"/>
    </row>
    <row r="4" spans="1:9" ht="15.75" x14ac:dyDescent="0.25">
      <c r="A4" s="4" t="s">
        <v>140</v>
      </c>
      <c r="B4" s="4"/>
      <c r="C4" s="4"/>
      <c r="D4" s="4"/>
      <c r="E4" s="4"/>
      <c r="F4" s="4"/>
      <c r="G4" s="4"/>
      <c r="H4" s="4"/>
      <c r="I4" s="4"/>
    </row>
    <row r="5" spans="1:9" ht="15.75" x14ac:dyDescent="0.25">
      <c r="A5" s="4" t="s">
        <v>141</v>
      </c>
      <c r="B5" s="4"/>
      <c r="C5" s="4"/>
      <c r="D5" s="4"/>
      <c r="E5" s="4"/>
      <c r="F5" s="4"/>
      <c r="G5" s="4"/>
      <c r="H5" s="4"/>
      <c r="I5" s="4"/>
    </row>
    <row r="6" spans="1:9" x14ac:dyDescent="0.25">
      <c r="A6" s="9"/>
      <c r="B6" s="17"/>
      <c r="C6" s="17"/>
      <c r="D6" s="17"/>
      <c r="E6" s="17"/>
      <c r="F6" s="17"/>
      <c r="G6" s="17"/>
      <c r="H6" s="17"/>
      <c r="I6" s="15"/>
    </row>
    <row r="7" spans="1:9" x14ac:dyDescent="0.25">
      <c r="A7" s="9"/>
      <c r="B7" s="17"/>
      <c r="C7" s="17"/>
      <c r="D7" s="17"/>
      <c r="E7" s="17"/>
      <c r="F7" s="17"/>
      <c r="G7" s="17"/>
      <c r="H7" s="17"/>
      <c r="I7" s="15"/>
    </row>
    <row r="8" spans="1:9" x14ac:dyDescent="0.25">
      <c r="A8" s="9" t="s">
        <v>142</v>
      </c>
      <c r="B8" s="9"/>
      <c r="C8" s="9"/>
      <c r="D8" s="9"/>
      <c r="E8" s="9" t="s">
        <v>69</v>
      </c>
      <c r="F8" s="9"/>
      <c r="G8" s="10">
        <v>2019</v>
      </c>
      <c r="H8" s="10">
        <v>2018</v>
      </c>
      <c r="I8" s="9"/>
    </row>
    <row r="9" spans="1:9" x14ac:dyDescent="0.25">
      <c r="A9" s="9"/>
      <c r="B9" s="9" t="s">
        <v>143</v>
      </c>
      <c r="C9" s="9"/>
      <c r="D9" s="9"/>
      <c r="E9" s="9"/>
      <c r="F9" s="9"/>
      <c r="G9" s="29"/>
      <c r="H9" s="29"/>
      <c r="I9" s="9"/>
    </row>
    <row r="10" spans="1:9" x14ac:dyDescent="0.25">
      <c r="A10" s="31"/>
      <c r="B10" s="31"/>
      <c r="C10" s="31" t="s">
        <v>144</v>
      </c>
      <c r="D10" s="31"/>
      <c r="E10" s="31"/>
      <c r="F10" s="31"/>
      <c r="G10" s="38">
        <f>'[3]balanço e dre '!F222</f>
        <v>787791.58999999519</v>
      </c>
      <c r="H10" s="38">
        <v>-658156.09000000672</v>
      </c>
      <c r="I10" s="31"/>
    </row>
    <row r="11" spans="1:9" x14ac:dyDescent="0.25">
      <c r="A11" s="31"/>
      <c r="B11" s="31"/>
      <c r="C11" s="31" t="s">
        <v>145</v>
      </c>
      <c r="D11" s="31"/>
      <c r="E11" s="31"/>
      <c r="F11" s="31"/>
      <c r="G11" s="30">
        <v>63339.78</v>
      </c>
      <c r="H11" s="38">
        <v>-41773.54</v>
      </c>
      <c r="I11" s="31"/>
    </row>
    <row r="12" spans="1:9" x14ac:dyDescent="0.25">
      <c r="A12" s="9"/>
      <c r="B12" s="9" t="s">
        <v>146</v>
      </c>
      <c r="C12" s="9"/>
      <c r="D12" s="9"/>
      <c r="E12" s="9"/>
      <c r="F12" s="9"/>
      <c r="G12" s="31"/>
      <c r="H12" s="31"/>
      <c r="I12" s="31"/>
    </row>
    <row r="13" spans="1:9" x14ac:dyDescent="0.25">
      <c r="A13" s="31"/>
      <c r="B13" s="31"/>
      <c r="C13" s="31" t="s">
        <v>147</v>
      </c>
      <c r="D13" s="31"/>
      <c r="E13" s="31"/>
      <c r="F13" s="31"/>
      <c r="G13" s="30">
        <f>-'[3]balanço e dre '!F62+'[3]balanço e dre '!H62</f>
        <v>906891.39000000013</v>
      </c>
      <c r="H13" s="30">
        <v>819846.85</v>
      </c>
      <c r="I13" s="31"/>
    </row>
    <row r="14" spans="1:9" x14ac:dyDescent="0.25">
      <c r="A14" s="9"/>
      <c r="B14" s="9" t="s">
        <v>148</v>
      </c>
      <c r="C14" s="9"/>
      <c r="D14" s="9"/>
      <c r="E14" s="9"/>
      <c r="F14" s="9"/>
      <c r="G14" s="29"/>
      <c r="H14" s="29"/>
      <c r="I14" s="9"/>
    </row>
    <row r="15" spans="1:9" x14ac:dyDescent="0.25">
      <c r="A15" s="31"/>
      <c r="B15" s="31"/>
      <c r="C15" s="31" t="s">
        <v>149</v>
      </c>
      <c r="D15" s="31"/>
      <c r="E15" s="31"/>
      <c r="F15" s="31"/>
      <c r="G15" s="30">
        <f>'[3]balanço e dre '!F100-'[3]balanço e dre '!H100</f>
        <v>515551.24000000022</v>
      </c>
      <c r="H15" s="30">
        <v>0</v>
      </c>
      <c r="I15" s="31"/>
    </row>
    <row r="16" spans="1:9" x14ac:dyDescent="0.25">
      <c r="A16" s="31"/>
      <c r="B16" s="31"/>
      <c r="C16" s="31" t="s">
        <v>150</v>
      </c>
      <c r="D16" s="31"/>
      <c r="E16" s="31"/>
      <c r="F16" s="31"/>
      <c r="G16" s="30">
        <v>0</v>
      </c>
      <c r="H16" s="30">
        <v>25372.09</v>
      </c>
      <c r="I16" s="31"/>
    </row>
    <row r="17" spans="1:9" x14ac:dyDescent="0.25">
      <c r="A17" s="31"/>
      <c r="B17" s="31"/>
      <c r="C17" s="31" t="s">
        <v>151</v>
      </c>
      <c r="D17" s="31"/>
      <c r="E17" s="31"/>
      <c r="F17" s="31"/>
      <c r="G17" s="30">
        <v>0</v>
      </c>
      <c r="H17" s="30">
        <v>0</v>
      </c>
      <c r="I17" s="31"/>
    </row>
    <row r="18" spans="1:9" x14ac:dyDescent="0.25">
      <c r="A18" s="9"/>
      <c r="B18" s="9"/>
      <c r="C18" s="9"/>
      <c r="D18" s="9"/>
      <c r="E18" s="9"/>
      <c r="F18" s="9"/>
      <c r="G18" s="31"/>
      <c r="H18" s="31"/>
      <c r="I18" s="31"/>
    </row>
    <row r="19" spans="1:9" x14ac:dyDescent="0.25">
      <c r="A19" s="9" t="s">
        <v>152</v>
      </c>
      <c r="B19" s="9"/>
      <c r="C19" s="9"/>
      <c r="D19" s="9"/>
      <c r="E19" s="9"/>
      <c r="F19" s="9"/>
      <c r="G19" s="29">
        <f>SUM(G10:G18)</f>
        <v>2273573.9999999953</v>
      </c>
      <c r="H19" s="29">
        <v>145289.30999999284</v>
      </c>
      <c r="I19" s="9"/>
    </row>
    <row r="20" spans="1:9" x14ac:dyDescent="0.25">
      <c r="A20" s="9"/>
      <c r="B20" s="9"/>
      <c r="C20" s="9"/>
      <c r="D20" s="9"/>
      <c r="E20" s="9"/>
      <c r="F20" s="9"/>
      <c r="G20" s="31"/>
      <c r="H20" s="31"/>
      <c r="I20" s="31"/>
    </row>
    <row r="21" spans="1:9" x14ac:dyDescent="0.25">
      <c r="A21" s="9" t="s">
        <v>153</v>
      </c>
      <c r="B21" s="9"/>
      <c r="C21" s="9"/>
      <c r="D21" s="9"/>
      <c r="E21" s="9"/>
      <c r="F21" s="9"/>
      <c r="G21" s="9"/>
      <c r="H21" s="9"/>
      <c r="I21" s="9"/>
    </row>
    <row r="22" spans="1:9" x14ac:dyDescent="0.25">
      <c r="A22" s="9"/>
      <c r="B22" s="9"/>
      <c r="C22" s="31" t="s">
        <v>154</v>
      </c>
      <c r="D22" s="9"/>
      <c r="E22" s="9"/>
      <c r="F22" s="9"/>
      <c r="G22" s="30">
        <v>0</v>
      </c>
      <c r="H22" s="30">
        <v>852226.1400000006</v>
      </c>
      <c r="I22" s="9"/>
    </row>
    <row r="23" spans="1:9" x14ac:dyDescent="0.25">
      <c r="A23" s="31"/>
      <c r="B23" s="31"/>
      <c r="C23" s="31" t="s">
        <v>36</v>
      </c>
      <c r="D23" s="31"/>
      <c r="E23" s="31"/>
      <c r="F23" s="31"/>
      <c r="G23" s="38">
        <f>'[3]balanço e dre '!F38-'[3]balanço e dre '!H38</f>
        <v>0</v>
      </c>
      <c r="H23" s="38">
        <v>0</v>
      </c>
      <c r="I23" s="31"/>
    </row>
    <row r="24" spans="1:9" x14ac:dyDescent="0.25">
      <c r="A24" s="31"/>
      <c r="B24" s="31"/>
      <c r="C24" s="31" t="s">
        <v>155</v>
      </c>
      <c r="D24" s="31"/>
      <c r="E24" s="31"/>
      <c r="F24" s="31"/>
      <c r="G24" s="38">
        <f>'[3]balanço e dre '!F41+'[3]balanço e dre '!F58-'[3]balanço e dre '!H41-'[3]balanço e dre '!H58</f>
        <v>869875.61000000464</v>
      </c>
      <c r="H24" s="38">
        <v>1479857.17</v>
      </c>
      <c r="I24" s="31"/>
    </row>
    <row r="25" spans="1:9" x14ac:dyDescent="0.25">
      <c r="A25" s="31"/>
      <c r="B25" s="31"/>
      <c r="C25" s="31" t="s">
        <v>156</v>
      </c>
      <c r="D25" s="31"/>
      <c r="E25" s="31"/>
      <c r="F25" s="31"/>
      <c r="G25" s="38">
        <f>'[3]balanço e dre '!F34-'[3]balanço e dre '!H34</f>
        <v>47106.470000000088</v>
      </c>
      <c r="H25" s="38">
        <v>0</v>
      </c>
      <c r="I25" s="31"/>
    </row>
    <row r="26" spans="1:9" x14ac:dyDescent="0.25">
      <c r="A26" s="31"/>
      <c r="B26" s="31"/>
      <c r="C26" s="31"/>
      <c r="D26" s="31"/>
      <c r="E26" s="31"/>
      <c r="F26" s="31"/>
      <c r="G26" s="38"/>
      <c r="H26" s="38"/>
      <c r="I26" s="31"/>
    </row>
    <row r="27" spans="1:9" x14ac:dyDescent="0.25">
      <c r="A27" s="9"/>
      <c r="B27" s="9"/>
      <c r="C27" s="9"/>
      <c r="D27" s="9"/>
      <c r="E27" s="9"/>
      <c r="F27" s="9"/>
      <c r="G27" s="31"/>
      <c r="H27" s="31"/>
      <c r="I27" s="31"/>
    </row>
    <row r="28" spans="1:9" x14ac:dyDescent="0.25">
      <c r="A28" s="9" t="s">
        <v>157</v>
      </c>
      <c r="B28" s="9"/>
      <c r="C28" s="9"/>
      <c r="D28" s="9"/>
      <c r="E28" s="9"/>
      <c r="F28" s="9"/>
      <c r="G28" s="29">
        <f>SUM(G22:G26)</f>
        <v>916982.08000000473</v>
      </c>
      <c r="H28" s="29">
        <v>2332083.31</v>
      </c>
      <c r="I28" s="9"/>
    </row>
    <row r="29" spans="1:9" x14ac:dyDescent="0.25">
      <c r="A29" s="9" t="s">
        <v>158</v>
      </c>
      <c r="B29" s="9"/>
      <c r="C29" s="9"/>
      <c r="D29" s="9"/>
      <c r="E29" s="9"/>
      <c r="F29" s="9"/>
      <c r="G29" s="29">
        <f>G19-G28</f>
        <v>1356591.9199999906</v>
      </c>
      <c r="H29" s="29">
        <v>-2186794.0000000075</v>
      </c>
      <c r="I29" s="9"/>
    </row>
    <row r="30" spans="1:9" x14ac:dyDescent="0.25">
      <c r="A30" s="9"/>
      <c r="B30" s="9"/>
      <c r="C30" s="9"/>
      <c r="D30" s="9"/>
      <c r="E30" s="9"/>
      <c r="F30" s="9"/>
      <c r="G30" s="29"/>
      <c r="H30" s="29"/>
      <c r="I30" s="31"/>
    </row>
    <row r="31" spans="1:9" x14ac:dyDescent="0.25">
      <c r="A31" s="31"/>
      <c r="B31" s="31"/>
      <c r="C31" s="31"/>
      <c r="D31" s="31"/>
      <c r="E31" s="31"/>
      <c r="F31" s="31"/>
      <c r="G31" s="30"/>
      <c r="H31" s="30"/>
      <c r="I31" s="38"/>
    </row>
    <row r="32" spans="1:9" x14ac:dyDescent="0.25">
      <c r="A32" s="6" t="s">
        <v>159</v>
      </c>
      <c r="B32" s="6"/>
      <c r="C32" s="6"/>
      <c r="D32" s="6"/>
      <c r="E32" s="6"/>
      <c r="F32" s="6"/>
      <c r="G32" s="6"/>
      <c r="H32" s="6"/>
      <c r="I32" s="6"/>
    </row>
    <row r="33" spans="1:9" x14ac:dyDescent="0.25">
      <c r="A33" s="9"/>
      <c r="B33" s="9"/>
      <c r="C33" s="9"/>
      <c r="D33" s="9"/>
      <c r="E33" s="9"/>
      <c r="F33" s="9"/>
      <c r="G33" s="29"/>
      <c r="H33" s="29"/>
      <c r="I33" s="9"/>
    </row>
    <row r="34" spans="1:9" x14ac:dyDescent="0.25">
      <c r="A34" s="31"/>
      <c r="B34" s="31"/>
      <c r="C34" s="31"/>
      <c r="D34" s="31"/>
      <c r="E34" s="10"/>
      <c r="F34" s="10">
        <v>2019</v>
      </c>
      <c r="G34" s="10">
        <v>2018</v>
      </c>
      <c r="H34" s="36" t="s">
        <v>160</v>
      </c>
      <c r="I34" s="38"/>
    </row>
    <row r="35" spans="1:9" x14ac:dyDescent="0.25">
      <c r="A35" s="31"/>
      <c r="B35" s="31"/>
      <c r="C35" s="31" t="s">
        <v>161</v>
      </c>
      <c r="D35" s="31"/>
      <c r="E35" s="30"/>
      <c r="F35" s="30">
        <f>'[3]balanço e dre '!F7</f>
        <v>13323478.149999997</v>
      </c>
      <c r="G35" s="30">
        <v>10015502.620000001</v>
      </c>
      <c r="H35" s="30">
        <f>F35-G35</f>
        <v>3307975.5299999956</v>
      </c>
      <c r="I35" s="38"/>
    </row>
    <row r="36" spans="1:9" x14ac:dyDescent="0.25">
      <c r="A36" s="31"/>
      <c r="B36" s="31"/>
      <c r="C36" s="31" t="s">
        <v>162</v>
      </c>
      <c r="D36" s="31"/>
      <c r="E36" s="30"/>
      <c r="F36" s="30">
        <f>'[3]balanço e dre '!F88</f>
        <v>16323157.18</v>
      </c>
      <c r="G36" s="30">
        <v>14371773.57</v>
      </c>
      <c r="H36" s="30">
        <f>F36-G36</f>
        <v>1951383.6099999994</v>
      </c>
      <c r="I36" s="31"/>
    </row>
    <row r="37" spans="1:9" x14ac:dyDescent="0.25">
      <c r="A37" s="9"/>
      <c r="B37" s="9"/>
      <c r="C37" s="9" t="s">
        <v>163</v>
      </c>
      <c r="D37" s="9"/>
      <c r="E37" s="29"/>
      <c r="F37" s="29">
        <f>F35-F36</f>
        <v>-2999679.0300000031</v>
      </c>
      <c r="G37" s="29">
        <v>-4356270.95</v>
      </c>
      <c r="H37" s="29">
        <f>F37-G37</f>
        <v>1356591.9199999971</v>
      </c>
      <c r="I37" s="23"/>
    </row>
    <row r="38" spans="1:9" x14ac:dyDescent="0.25">
      <c r="A38" s="9"/>
      <c r="B38" s="9"/>
      <c r="C38" s="9"/>
      <c r="D38" s="9"/>
      <c r="E38" s="29"/>
      <c r="F38" s="29"/>
      <c r="G38" s="29"/>
      <c r="H38" s="29"/>
      <c r="I38" s="9"/>
    </row>
    <row r="39" spans="1:9" x14ac:dyDescent="0.25">
      <c r="A39" s="31"/>
      <c r="B39" s="31"/>
      <c r="C39" s="31"/>
      <c r="D39" s="31"/>
      <c r="E39" s="10"/>
      <c r="F39" s="10">
        <v>2018</v>
      </c>
      <c r="G39" s="10">
        <v>2017</v>
      </c>
      <c r="H39" s="36" t="s">
        <v>160</v>
      </c>
      <c r="I39" s="31"/>
    </row>
    <row r="40" spans="1:9" x14ac:dyDescent="0.25">
      <c r="A40" s="31"/>
      <c r="B40" s="31"/>
      <c r="C40" s="31" t="s">
        <v>161</v>
      </c>
      <c r="D40" s="31"/>
      <c r="E40" s="30"/>
      <c r="F40" s="30">
        <v>10015502.620000001</v>
      </c>
      <c r="G40" s="30">
        <v>10984645.049999999</v>
      </c>
      <c r="H40" s="30">
        <f>F40-G40</f>
        <v>-969142.42999999784</v>
      </c>
      <c r="I40" s="31"/>
    </row>
    <row r="41" spans="1:9" x14ac:dyDescent="0.25">
      <c r="A41" s="31"/>
      <c r="B41" s="31"/>
      <c r="C41" s="31" t="s">
        <v>162</v>
      </c>
      <c r="D41" s="31"/>
      <c r="E41" s="30"/>
      <c r="F41" s="30">
        <v>14371773.57</v>
      </c>
      <c r="G41" s="30">
        <v>13154122</v>
      </c>
      <c r="H41" s="30">
        <f>F41-G41</f>
        <v>1217651.5700000003</v>
      </c>
      <c r="I41" s="31"/>
    </row>
    <row r="42" spans="1:9" x14ac:dyDescent="0.25">
      <c r="A42" s="9"/>
      <c r="B42" s="9"/>
      <c r="C42" s="9" t="s">
        <v>163</v>
      </c>
      <c r="D42" s="9"/>
      <c r="E42" s="29"/>
      <c r="F42" s="29">
        <v>-4356270.95</v>
      </c>
      <c r="G42" s="29">
        <v>-2169476.9500000002</v>
      </c>
      <c r="H42" s="29">
        <f>H40-H41</f>
        <v>-2186793.9999999981</v>
      </c>
      <c r="I42" s="9"/>
    </row>
    <row r="43" spans="1:9" x14ac:dyDescent="0.25">
      <c r="A43" s="31"/>
      <c r="B43" s="15"/>
      <c r="C43" s="15"/>
      <c r="D43" s="15"/>
      <c r="E43" s="15"/>
      <c r="F43" s="15"/>
      <c r="G43" s="16"/>
      <c r="H43" s="16"/>
      <c r="I43" s="15"/>
    </row>
    <row r="44" spans="1:9" x14ac:dyDescent="0.25">
      <c r="A44" s="31"/>
      <c r="B44" s="15"/>
      <c r="C44" s="15"/>
      <c r="D44" s="15"/>
      <c r="E44" s="15"/>
      <c r="F44" s="15"/>
      <c r="G44" s="16"/>
      <c r="H44" s="16"/>
      <c r="I44" s="15"/>
    </row>
    <row r="45" spans="1:9" x14ac:dyDescent="0.25">
      <c r="A45" s="31"/>
      <c r="B45" s="15"/>
      <c r="C45" s="15"/>
      <c r="D45" s="15"/>
      <c r="E45" s="15"/>
      <c r="F45" s="15"/>
      <c r="G45" s="16"/>
      <c r="H45" s="16"/>
      <c r="I45" s="15"/>
    </row>
    <row r="46" spans="1:9" x14ac:dyDescent="0.25">
      <c r="A46" s="25" t="s">
        <v>60</v>
      </c>
      <c r="B46" s="25"/>
      <c r="C46" s="25"/>
      <c r="D46" s="25"/>
      <c r="E46" s="25"/>
      <c r="F46" s="25"/>
      <c r="G46" s="25"/>
      <c r="H46" s="25"/>
      <c r="I46" s="25"/>
    </row>
    <row r="47" spans="1:9" x14ac:dyDescent="0.25">
      <c r="A47" s="31"/>
      <c r="B47" s="15"/>
      <c r="C47" s="15"/>
      <c r="D47" s="15"/>
      <c r="E47" s="15"/>
      <c r="F47" s="15"/>
      <c r="G47" s="15"/>
      <c r="H47" s="15"/>
      <c r="I47" s="15"/>
    </row>
    <row r="48" spans="1:9" x14ac:dyDescent="0.25">
      <c r="A48" s="31"/>
      <c r="B48" s="15"/>
      <c r="C48" s="15"/>
      <c r="D48" s="15"/>
      <c r="E48" s="15"/>
      <c r="F48" s="15"/>
      <c r="G48" s="15"/>
      <c r="H48" s="15"/>
      <c r="I48" s="15"/>
    </row>
    <row r="49" spans="1:9" x14ac:dyDescent="0.25">
      <c r="A49" s="31"/>
      <c r="B49" s="3"/>
      <c r="C49" s="3" t="s">
        <v>61</v>
      </c>
      <c r="D49" s="15"/>
      <c r="E49" s="15"/>
      <c r="F49" s="15"/>
      <c r="G49" s="15"/>
      <c r="H49" s="3" t="s">
        <v>62</v>
      </c>
      <c r="I49" s="15"/>
    </row>
    <row r="50" spans="1:9" x14ac:dyDescent="0.25">
      <c r="A50" s="31"/>
      <c r="B50" s="3"/>
      <c r="C50" s="3" t="s">
        <v>63</v>
      </c>
      <c r="D50" s="15"/>
      <c r="E50" s="15"/>
      <c r="F50" s="15"/>
      <c r="G50" s="15"/>
      <c r="H50" s="3" t="s">
        <v>64</v>
      </c>
      <c r="I50" s="15"/>
    </row>
    <row r="51" spans="1:9" x14ac:dyDescent="0.25">
      <c r="A51" s="31"/>
      <c r="B51" s="28"/>
      <c r="C51" s="28" t="s">
        <v>65</v>
      </c>
      <c r="D51" s="15"/>
      <c r="E51" s="15"/>
      <c r="F51" s="15"/>
      <c r="G51" s="15"/>
      <c r="H51" s="3" t="s">
        <v>66</v>
      </c>
      <c r="I51" s="15"/>
    </row>
  </sheetData>
  <mergeCells count="6">
    <mergeCell ref="A1:I1"/>
    <mergeCell ref="A2:I2"/>
    <mergeCell ref="A4:I4"/>
    <mergeCell ref="A5:I5"/>
    <mergeCell ref="A32:I32"/>
    <mergeCell ref="A46:I4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:M59"/>
  <sheetViews>
    <sheetView topLeftCell="A40" workbookViewId="0">
      <selection activeCell="J1" sqref="J1:J1048576"/>
    </sheetView>
  </sheetViews>
  <sheetFormatPr defaultRowHeight="15" x14ac:dyDescent="0.25"/>
  <cols>
    <col min="1" max="1" width="38.5703125" bestFit="1" customWidth="1"/>
    <col min="2" max="2" width="12.42578125" bestFit="1" customWidth="1"/>
    <col min="3" max="3" width="29" bestFit="1" customWidth="1"/>
    <col min="4" max="8" width="12.42578125" bestFit="1" customWidth="1"/>
    <col min="9" max="9" width="22.5703125" bestFit="1" customWidth="1"/>
    <col min="10" max="10" width="12.42578125" bestFit="1" customWidth="1"/>
    <col min="11" max="11" width="13.140625" bestFit="1" customWidth="1"/>
    <col min="12" max="12" width="12.42578125" bestFit="1" customWidth="1"/>
    <col min="13" max="13" width="13.140625" bestFit="1" customWidth="1"/>
  </cols>
  <sheetData>
    <row r="1" spans="1:13" x14ac:dyDescent="0.25">
      <c r="A1" s="39"/>
      <c r="B1" s="40"/>
      <c r="C1" s="40"/>
      <c r="D1" s="40"/>
      <c r="E1" s="40"/>
      <c r="F1" s="40"/>
      <c r="G1" s="40"/>
      <c r="H1" s="41"/>
      <c r="I1" s="41"/>
      <c r="J1" s="39"/>
      <c r="K1" s="41"/>
      <c r="L1" s="41"/>
      <c r="M1" s="41"/>
    </row>
    <row r="2" spans="1:13" x14ac:dyDescent="0.25">
      <c r="A2" s="42" t="s">
        <v>164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13" x14ac:dyDescent="0.25">
      <c r="A3" s="43"/>
      <c r="B3" s="44"/>
      <c r="C3" s="45"/>
      <c r="D3" s="45"/>
      <c r="E3" s="45"/>
      <c r="F3" s="45"/>
      <c r="G3" s="45"/>
      <c r="H3" s="46"/>
      <c r="I3" s="47"/>
      <c r="J3" s="48"/>
      <c r="K3" s="47"/>
      <c r="L3" s="47"/>
      <c r="M3" s="47"/>
    </row>
    <row r="4" spans="1:13" x14ac:dyDescent="0.25">
      <c r="A4" s="49"/>
      <c r="B4" s="50"/>
      <c r="C4" s="51"/>
      <c r="D4" s="51"/>
      <c r="E4" s="51"/>
      <c r="F4" s="51"/>
      <c r="G4" s="51"/>
      <c r="H4" s="52"/>
      <c r="I4" s="53"/>
      <c r="J4" s="39"/>
      <c r="K4" s="53"/>
      <c r="L4" s="53"/>
      <c r="M4" s="53"/>
    </row>
    <row r="5" spans="1:13" x14ac:dyDescent="0.25">
      <c r="A5" s="54" t="s">
        <v>165</v>
      </c>
      <c r="B5" s="55">
        <v>43466</v>
      </c>
      <c r="C5" s="55">
        <v>43497</v>
      </c>
      <c r="D5" s="55">
        <v>43525</v>
      </c>
      <c r="E5" s="55">
        <v>43556</v>
      </c>
      <c r="F5" s="55">
        <v>43586</v>
      </c>
      <c r="G5" s="55">
        <v>43617</v>
      </c>
      <c r="H5" s="55">
        <v>43647</v>
      </c>
      <c r="I5" s="55">
        <v>43678</v>
      </c>
      <c r="J5" s="55">
        <v>43709</v>
      </c>
      <c r="K5" s="55">
        <v>43739</v>
      </c>
      <c r="L5" s="55">
        <v>43770</v>
      </c>
      <c r="M5" s="55">
        <v>43800</v>
      </c>
    </row>
    <row r="6" spans="1:13" x14ac:dyDescent="0.25">
      <c r="A6" s="54"/>
      <c r="B6" s="56" t="s">
        <v>166</v>
      </c>
      <c r="C6" s="56" t="s">
        <v>166</v>
      </c>
      <c r="D6" s="56" t="s">
        <v>166</v>
      </c>
      <c r="E6" s="56" t="s">
        <v>166</v>
      </c>
      <c r="F6" s="56" t="s">
        <v>166</v>
      </c>
      <c r="G6" s="56" t="s">
        <v>166</v>
      </c>
      <c r="H6" s="56" t="s">
        <v>166</v>
      </c>
      <c r="I6" s="56" t="s">
        <v>166</v>
      </c>
      <c r="J6" s="56" t="s">
        <v>166</v>
      </c>
      <c r="K6" s="56" t="s">
        <v>166</v>
      </c>
      <c r="L6" s="56" t="s">
        <v>166</v>
      </c>
      <c r="M6" s="56" t="s">
        <v>166</v>
      </c>
    </row>
    <row r="7" spans="1:13" x14ac:dyDescent="0.25">
      <c r="A7" s="57" t="s">
        <v>167</v>
      </c>
      <c r="B7" s="52">
        <f t="shared" ref="B7:M7" si="0">B8+B9</f>
        <v>2609717.1300000008</v>
      </c>
      <c r="C7" s="52">
        <f t="shared" si="0"/>
        <v>2989736.1399999992</v>
      </c>
      <c r="D7" s="52">
        <f t="shared" si="0"/>
        <v>3074997.0199999996</v>
      </c>
      <c r="E7" s="52">
        <f t="shared" si="0"/>
        <v>2923475.5399999991</v>
      </c>
      <c r="F7" s="52">
        <f t="shared" si="0"/>
        <v>3263504.5999999987</v>
      </c>
      <c r="G7" s="52">
        <f t="shared" si="0"/>
        <v>3408135.8499999954</v>
      </c>
      <c r="H7" s="52">
        <f t="shared" si="0"/>
        <v>3506085.4800000037</v>
      </c>
      <c r="I7" s="52">
        <f t="shared" si="0"/>
        <v>3721565.6700000041</v>
      </c>
      <c r="J7" s="52">
        <f t="shared" si="0"/>
        <v>3409482.7199999955</v>
      </c>
      <c r="K7" s="52">
        <f t="shared" si="0"/>
        <v>2323876.720000003</v>
      </c>
      <c r="L7" s="52">
        <f t="shared" si="0"/>
        <v>3339992.1099999929</v>
      </c>
      <c r="M7" s="52">
        <f t="shared" si="0"/>
        <v>4558092.8100000033</v>
      </c>
    </row>
    <row r="8" spans="1:13" x14ac:dyDescent="0.25">
      <c r="A8" s="39" t="s">
        <v>168</v>
      </c>
      <c r="B8" s="53">
        <f>'[1]balancete 2019'!C100+'[1]balancete 2019'!B11-'[1]balancete 2019'!C11</f>
        <v>2645095.8900000006</v>
      </c>
      <c r="C8" s="53">
        <f>'[1]balancete 2019'!D100+'[1]balancete 2019'!C11-'[1]balancete 2019'!D11</f>
        <v>3014251.4499999993</v>
      </c>
      <c r="D8" s="53">
        <f>'[1]balancete 2019'!E100+'[1]balancete 2019'!D11-'[1]balancete 2019'!E11</f>
        <v>3121662.5999999996</v>
      </c>
      <c r="E8" s="53">
        <f>'[1]balancete 2019'!F100+'[1]balancete 2019'!E11-'[1]balancete 2019'!F11</f>
        <v>2950272.0299999993</v>
      </c>
      <c r="F8" s="53">
        <f>'[1]balancete 2019'!G100+'[1]balancete 2019'!F11-'[1]balancete 2019'!G11</f>
        <v>3198816.2199999988</v>
      </c>
      <c r="G8" s="53">
        <f>'[1]balancete 2019'!H100+'[1]balancete 2019'!G11-'[1]balancete 2019'!H11</f>
        <v>3374141.3799999952</v>
      </c>
      <c r="H8" s="53">
        <f>'[1]balancete 2019'!I100+'[1]balancete 2019'!H11-'[1]balancete 2019'!I11</f>
        <v>3523894.1700000037</v>
      </c>
      <c r="I8" s="53">
        <f>'[1]balancete 2019'!J100+'[1]balancete 2019'!I11-'[1]balancete 2019'!J11</f>
        <v>3696731.4000000041</v>
      </c>
      <c r="J8" s="53">
        <f>'[1]balancete 2019'!K100+'[1]balancete 2019'!J11-'[1]balancete 2019'!K11</f>
        <v>3418319.2799999956</v>
      </c>
      <c r="K8" s="53">
        <f>'[1]balancete 2019'!L100+'[1]balancete 2019'!K11-'[1]balancete 2019'!L11</f>
        <v>3363949.5200000033</v>
      </c>
      <c r="L8" s="53">
        <f>'[1]balancete 2019'!M100+'[1]balancete 2019'!L11-'[1]balancete 2019'!M11</f>
        <v>3402352.6599999927</v>
      </c>
      <c r="M8" s="53">
        <f>'[1]balancete 2019'!N100+'[1]balancete 2019'!M11-'[1]balancete 2019'!N11</f>
        <v>3956188.9100000039</v>
      </c>
    </row>
    <row r="9" spans="1:13" x14ac:dyDescent="0.25">
      <c r="A9" s="39" t="s">
        <v>169</v>
      </c>
      <c r="B9" s="53">
        <f xml:space="preserve"> ('[1]balancete 2019'!B21+'[1]balancete 2019'!B26+'[1]balancete 2019'!B25)- ('[1]balancete 2019'!C21+'[1]balancete 2019'!C26+'[1]balancete 2019'!C25)</f>
        <v>-35378.76</v>
      </c>
      <c r="C9" s="53">
        <f xml:space="preserve"> ('[1]balancete 2019'!C21+'[1]balancete 2019'!C26+'[1]balancete 2019'!C25)- ('[1]balancete 2019'!D21+'[1]balancete 2019'!D26+'[1]balancete 2019'!D25)</f>
        <v>-24515.310000000012</v>
      </c>
      <c r="D9" s="53">
        <f xml:space="preserve"> ('[1]balancete 2019'!D21+'[1]balancete 2019'!D26+'[1]balancete 2019'!D25)- ('[1]balancete 2019'!E21+'[1]balancete 2019'!E26+'[1]balancete 2019'!E25)</f>
        <v>-46665.579999999973</v>
      </c>
      <c r="E9" s="53">
        <f xml:space="preserve"> ('[1]balancete 2019'!E21+'[1]balancete 2019'!E26+'[1]balancete 2019'!E25)- ('[1]balancete 2019'!F21+'[1]balancete 2019'!F26+'[1]balancete 2019'!F25)</f>
        <v>-26796.49000000002</v>
      </c>
      <c r="F9" s="53">
        <f xml:space="preserve"> ('[1]balancete 2019'!F21+'[1]balancete 2019'!F26+'[1]balancete 2019'!F25)- ('[1]balancete 2019'!G21+'[1]balancete 2019'!G26+'[1]balancete 2019'!G25)</f>
        <v>64688.380000000019</v>
      </c>
      <c r="G9" s="53">
        <f xml:space="preserve"> ('[1]balancete 2019'!G21+'[1]balancete 2019'!G26+'[1]balancete 2019'!G25)- ('[1]balancete 2019'!H21+'[1]balancete 2019'!H26+'[1]balancete 2019'!H25)</f>
        <v>33994.469999999987</v>
      </c>
      <c r="H9" s="53">
        <f xml:space="preserve"> ('[1]balancete 2019'!H21+'[1]balancete 2019'!H26+'[1]balancete 2019'!H25)- ('[1]balancete 2019'!I21+'[1]balancete 2019'!I26+'[1]balancete 2019'!I25)</f>
        <v>-17808.690000000002</v>
      </c>
      <c r="I9" s="53">
        <f xml:space="preserve"> ('[1]balancete 2019'!I21+'[1]balancete 2019'!I26+'[1]balancete 2019'!I25)- ('[1]balancete 2019'!J21+'[1]balancete 2019'!J26+'[1]balancete 2019'!J25)</f>
        <v>24834.270000000004</v>
      </c>
      <c r="J9" s="53">
        <f xml:space="preserve"> ('[1]balancete 2019'!J21+'[1]balancete 2019'!J26+'[1]balancete 2019'!J25)- ('[1]balancete 2019'!K21+'[1]balancete 2019'!K26+'[1]balancete 2019'!K25)</f>
        <v>-8836.5600000000122</v>
      </c>
      <c r="K9" s="53">
        <f xml:space="preserve"> ('[1]balancete 2019'!K21+'[1]balancete 2019'!K26+'[1]balancete 2019'!K25)- ('[1]balancete 2019'!L21+'[1]balancete 2019'!L26+'[1]balancete 2019'!L25)</f>
        <v>-1040072.8000000002</v>
      </c>
      <c r="L9" s="53">
        <f xml:space="preserve"> ('[1]balancete 2019'!L21+'[1]balancete 2019'!L26+'[1]balancete 2019'!L25)- ('[1]balancete 2019'!M21+'[1]balancete 2019'!M26+'[1]balancete 2019'!M25)</f>
        <v>-62360.549999999581</v>
      </c>
      <c r="M9" s="53">
        <f xml:space="preserve"> ('[1]balancete 2019'!M21+'[1]balancete 2019'!M26+'[1]balancete 2019'!M25)- ('[1]balancete 2019'!N21+'[1]balancete 2019'!N26+'[1]balancete 2019'!N25)</f>
        <v>601903.89999999979</v>
      </c>
    </row>
    <row r="10" spans="1:13" x14ac:dyDescent="0.25">
      <c r="A10" s="58" t="s">
        <v>170</v>
      </c>
      <c r="B10" s="52" t="e">
        <f t="shared" ref="B10:M10" si="1">SUM(B11:B15)</f>
        <v>#REF!</v>
      </c>
      <c r="C10" s="52">
        <f t="shared" si="1"/>
        <v>2993736.29</v>
      </c>
      <c r="D10" s="52">
        <f t="shared" si="1"/>
        <v>3296622.0300000012</v>
      </c>
      <c r="E10" s="52">
        <f t="shared" si="1"/>
        <v>3219500.48</v>
      </c>
      <c r="F10" s="52">
        <f t="shared" si="1"/>
        <v>3594946.4099999997</v>
      </c>
      <c r="G10" s="52">
        <f t="shared" si="1"/>
        <v>3457411.5399999996</v>
      </c>
      <c r="H10" s="52">
        <f t="shared" si="1"/>
        <v>3529639.29</v>
      </c>
      <c r="I10" s="52">
        <f t="shared" si="1"/>
        <v>3452949.21</v>
      </c>
      <c r="J10" s="52">
        <f t="shared" si="1"/>
        <v>3381989.33</v>
      </c>
      <c r="K10" s="52">
        <f t="shared" si="1"/>
        <v>3271241.9899999984</v>
      </c>
      <c r="L10" s="52">
        <f t="shared" si="1"/>
        <v>3502391.4099999997</v>
      </c>
      <c r="M10" s="52">
        <f t="shared" si="1"/>
        <v>5657476.7200000035</v>
      </c>
    </row>
    <row r="11" spans="1:13" x14ac:dyDescent="0.25">
      <c r="A11" s="35" t="s">
        <v>171</v>
      </c>
      <c r="B11" s="53">
        <f>('[1]balancete 2019'!C121+'[1]balancete 2019'!C122+'[1]balancete 2019'!C18+'[1]balancete 2019'!B51)-('[1]balancete 2019'!B18+'[1]balancete 2019'!C51)</f>
        <v>736038.75</v>
      </c>
      <c r="C11" s="53">
        <f>('[1]balancete 2019'!D121+'[1]balancete 2019'!D122+'[1]balancete 2019'!D18+'[1]balancete 2019'!C51)-('[1]balancete 2019'!C18+'[1]balancete 2019'!D51)</f>
        <v>561241.65000000037</v>
      </c>
      <c r="D11" s="53">
        <f>('[1]balancete 2019'!E121+'[1]balancete 2019'!E122+'[1]balancete 2019'!E18+'[1]balancete 2019'!D51)-('[1]balancete 2019'!D18+'[1]balancete 2019'!E51)</f>
        <v>812112.1400000006</v>
      </c>
      <c r="E11" s="53">
        <f>('[1]balancete 2019'!F121+'[1]balancete 2019'!F122+'[1]balancete 2019'!F18+'[1]balancete 2019'!E51)-('[1]balancete 2019'!E18+'[1]balancete 2019'!F51)</f>
        <v>706838.91999999993</v>
      </c>
      <c r="F11" s="53">
        <f>('[1]balancete 2019'!G121+'[1]balancete 2019'!G122+'[1]balancete 2019'!G18+'[1]balancete 2019'!F51)-('[1]balancete 2019'!F18+'[1]balancete 2019'!G51)</f>
        <v>882011.24000000022</v>
      </c>
      <c r="G11" s="53">
        <f>('[1]balancete 2019'!H121+'[1]balancete 2019'!H122+'[1]balancete 2019'!H18+'[1]balancete 2019'!G51)-('[1]balancete 2019'!G18+'[1]balancete 2019'!H51)</f>
        <v>827199.45000000019</v>
      </c>
      <c r="H11" s="53">
        <f>('[1]balancete 2019'!I121+'[1]balancete 2019'!I122+'[1]balancete 2019'!I18+'[1]balancete 2019'!H51)-('[1]balancete 2019'!H18+'[1]balancete 2019'!I51)</f>
        <v>952497.46999999974</v>
      </c>
      <c r="I11" s="53">
        <f>('[1]balancete 2019'!J121+'[1]balancete 2019'!J122+'[1]balancete 2019'!J18+'[1]balancete 2019'!I51)-('[1]balancete 2019'!I18+'[1]balancete 2019'!J51)</f>
        <v>931212.08999999985</v>
      </c>
      <c r="J11" s="53">
        <f>('[1]balancete 2019'!K121+'[1]balancete 2019'!K122+'[1]balancete 2019'!K18+'[1]balancete 2019'!J51)-('[1]balancete 2019'!J18+'[1]balancete 2019'!K51)</f>
        <v>828378.75</v>
      </c>
      <c r="K11" s="53">
        <f>('[1]balancete 2019'!L121+'[1]balancete 2019'!L122+'[1]balancete 2019'!L18+'[1]balancete 2019'!K51)-('[1]balancete 2019'!K18+'[1]balancete 2019'!L51)</f>
        <v>837643.55999999959</v>
      </c>
      <c r="L11" s="53">
        <f>('[1]balancete 2019'!M121+'[1]balancete 2019'!M122+'[1]balancete 2019'!M18+'[1]balancete 2019'!L51)-('[1]balancete 2019'!L18+'[1]balancete 2019'!M51)</f>
        <v>735064.88999999966</v>
      </c>
      <c r="M11" s="53">
        <f>('[1]balancete 2019'!N121+'[1]balancete 2019'!N122+'[1]balancete 2019'!N18+'[1]balancete 2019'!M51)-('[1]balancete 2019'!M18+'[1]balancete 2019'!N51)</f>
        <v>1057128.9400000013</v>
      </c>
    </row>
    <row r="12" spans="1:13" x14ac:dyDescent="0.25">
      <c r="A12" s="39" t="s">
        <v>172</v>
      </c>
      <c r="B12" s="53">
        <f>'[1]balancete 2019'!C115+'[1]balancete 2019'!B52+'[1]balancete 2019'!B53-'[1]balancete 2019'!C52-'[1]balancete 2019'!C53</f>
        <v>1301477.6600000001</v>
      </c>
      <c r="C12" s="53">
        <f>'[1]balancete 2019'!D115+'[1]balancete 2019'!C52+'[1]balancete 2019'!C53-'[1]balancete 2019'!D52-'[1]balancete 2019'!D53</f>
        <v>1063691.9800000004</v>
      </c>
      <c r="D12" s="53">
        <f>'[1]balancete 2019'!E115+'[1]balancete 2019'!D52+'[1]balancete 2019'!D53-'[1]balancete 2019'!E52-'[1]balancete 2019'!E53</f>
        <v>1236126.33</v>
      </c>
      <c r="E12" s="53">
        <f>'[1]balancete 2019'!F115+'[1]balancete 2019'!E52+'[1]balancete 2019'!E53-'[1]balancete 2019'!F52-'[1]balancete 2019'!F53</f>
        <v>1194232.4000000004</v>
      </c>
      <c r="F12" s="53">
        <f>'[1]balancete 2019'!G115+'[1]balancete 2019'!F52+'[1]balancete 2019'!F53-'[1]balancete 2019'!G52-'[1]balancete 2019'!G53</f>
        <v>1192672.5099999988</v>
      </c>
      <c r="G12" s="53">
        <f>'[1]balancete 2019'!H115+'[1]balancete 2019'!G52+'[1]balancete 2019'!G53-'[1]balancete 2019'!H52-'[1]balancete 2019'!H53</f>
        <v>1077010.6300000008</v>
      </c>
      <c r="H12" s="53">
        <f>'[1]balancete 2019'!I115+'[1]balancete 2019'!H52+'[1]balancete 2019'!H53-'[1]balancete 2019'!I52-'[1]balancete 2019'!I53</f>
        <v>1181141.6299999999</v>
      </c>
      <c r="I12" s="53">
        <f>'[1]balancete 2019'!J115+'[1]balancete 2019'!I52+'[1]balancete 2019'!I53-'[1]balancete 2019'!J52-'[1]balancete 2019'!J53</f>
        <v>1115677.0599999996</v>
      </c>
      <c r="J12" s="53">
        <f>'[1]balancete 2019'!K115+'[1]balancete 2019'!J52+'[1]balancete 2019'!J53-'[1]balancete 2019'!K52-'[1]balancete 2019'!K53</f>
        <v>1184842.9000000004</v>
      </c>
      <c r="K12" s="53">
        <f>'[1]balancete 2019'!L115+'[1]balancete 2019'!K52+'[1]balancete 2019'!K53-'[1]balancete 2019'!L52-'[1]balancete 2019'!L53</f>
        <v>1208934.8299999991</v>
      </c>
      <c r="L12" s="53">
        <f>'[1]balancete 2019'!M115+'[1]balancete 2019'!L52+'[1]balancete 2019'!L53-'[1]balancete 2019'!M52-'[1]balancete 2019'!M53</f>
        <v>1242580.4700000007</v>
      </c>
      <c r="M12" s="53">
        <f>'[1]balancete 2019'!N115+'[1]balancete 2019'!M52+'[1]balancete 2019'!M53-'[1]balancete 2019'!N52-'[1]balancete 2019'!N53</f>
        <v>2819373.7700000005</v>
      </c>
    </row>
    <row r="13" spans="1:13" x14ac:dyDescent="0.25">
      <c r="A13" s="39" t="s">
        <v>173</v>
      </c>
      <c r="B13" s="53" t="e">
        <f>'[1]balancete 2019'!C118+'[1]balancete 2019'!B62+'[1]balancete 2019'!B63-'[1]balancete 2019'!C62-'[1]balancete 2019'!C63</f>
        <v>#REF!</v>
      </c>
      <c r="C13" s="53">
        <f>'[1]balancete 2019'!D118+'[1]balancete 2019'!C62+'[1]balancete 2019'!C63-'[1]balancete 2019'!D62-'[1]balancete 2019'!D63</f>
        <v>1074115.2299999997</v>
      </c>
      <c r="D13" s="53">
        <f>'[1]balancete 2019'!E118+'[1]balancete 2019'!D62+'[1]balancete 2019'!D63-'[1]balancete 2019'!E62-'[1]balancete 2019'!E63</f>
        <v>1071392.2100000004</v>
      </c>
      <c r="E13" s="53">
        <f>'[1]balancete 2019'!F118+'[1]balancete 2019'!E62+'[1]balancete 2019'!E63-'[1]balancete 2019'!F62-'[1]balancete 2019'!F63</f>
        <v>1066073.0499999998</v>
      </c>
      <c r="F13" s="53">
        <f>'[1]balancete 2019'!G118+'[1]balancete 2019'!F62+'[1]balancete 2019'!F63-'[1]balancete 2019'!G62-'[1]balancete 2019'!G63</f>
        <v>1303879.5500000007</v>
      </c>
      <c r="G13" s="53">
        <f>'[1]balancete 2019'!H118+'[1]balancete 2019'!G62+'[1]balancete 2019'!G63-'[1]balancete 2019'!H62-'[1]balancete 2019'!H63</f>
        <v>1161029.2899999993</v>
      </c>
      <c r="H13" s="53">
        <f>'[1]balancete 2019'!I118+'[1]balancete 2019'!H62+'[1]balancete 2019'!H63-'[1]balancete 2019'!I62-'[1]balancete 2019'!I63</f>
        <v>1124462.03</v>
      </c>
      <c r="I13" s="53">
        <f>'[1]balancete 2019'!J118+'[1]balancete 2019'!I62+'[1]balancete 2019'!I63-'[1]balancete 2019'!J62-'[1]balancete 2019'!J63</f>
        <v>1193659.4800000004</v>
      </c>
      <c r="J13" s="53">
        <f>'[1]balancete 2019'!K118+'[1]balancete 2019'!J62+'[1]balancete 2019'!J63-'[1]balancete 2019'!K62-'[1]balancete 2019'!K63</f>
        <v>1126553.45</v>
      </c>
      <c r="K13" s="53">
        <f>'[1]balancete 2019'!L118+'[1]balancete 2019'!K62+'[1]balancete 2019'!K63-'[1]balancete 2019'!L62-'[1]balancete 2019'!L63</f>
        <v>1143977.6299999994</v>
      </c>
      <c r="L13" s="53">
        <f>'[1]balancete 2019'!M118+'[1]balancete 2019'!L62+'[1]balancete 2019'!L63-'[1]balancete 2019'!M62-'[1]balancete 2019'!M63</f>
        <v>1358503.0399999989</v>
      </c>
      <c r="M13" s="53">
        <f>'[1]balancete 2019'!N118+'[1]balancete 2019'!M62+'[1]balancete 2019'!M63-'[1]balancete 2019'!N62-'[1]balancete 2019'!N63</f>
        <v>1349945.6400000018</v>
      </c>
    </row>
    <row r="14" spans="1:13" x14ac:dyDescent="0.25">
      <c r="A14" s="39" t="s">
        <v>174</v>
      </c>
      <c r="B14" s="53">
        <f>'[1]balancete 2019'!C123+'[1]balancete 2019'!C124+'[1]balancete 2019'!B64-'[1]balancete 2019'!C64</f>
        <v>133337.62</v>
      </c>
      <c r="C14" s="53">
        <f>'[1]balancete 2019'!D123+'[1]balancete 2019'!D124+'[1]balancete 2019'!C64-'[1]balancete 2019'!D64</f>
        <v>294687.42999999993</v>
      </c>
      <c r="D14" s="53">
        <f>'[1]balancete 2019'!E123+'[1]balancete 2019'!E124+'[1]balancete 2019'!D64-'[1]balancete 2019'!E64</f>
        <v>171449.17000000004</v>
      </c>
      <c r="E14" s="53">
        <f>'[1]balancete 2019'!F123+'[1]balancete 2019'!F124+'[1]balancete 2019'!E64-'[1]balancete 2019'!F64</f>
        <v>250967.75000000012</v>
      </c>
      <c r="F14" s="53">
        <f>'[1]balancete 2019'!G123+'[1]balancete 2019'!G124+'[1]balancete 2019'!F64-'[1]balancete 2019'!G64</f>
        <v>216371.11</v>
      </c>
      <c r="G14" s="53">
        <f>'[1]balancete 2019'!H123+'[1]balancete 2019'!H124+'[1]balancete 2019'!G64-'[1]balancete 2019'!H64</f>
        <v>376987.90999999986</v>
      </c>
      <c r="H14" s="53">
        <f>'[1]balancete 2019'!I123+'[1]balancete 2019'!I124+'[1]balancete 2019'!H64-'[1]balancete 2019'!I64</f>
        <v>267538.31</v>
      </c>
      <c r="I14" s="53">
        <f>'[1]balancete 2019'!J123+'[1]balancete 2019'!J124+'[1]balancete 2019'!I64-'[1]balancete 2019'!J64</f>
        <v>206149.59000000003</v>
      </c>
      <c r="J14" s="53">
        <f>'[1]balancete 2019'!K123+'[1]balancete 2019'!K124+'[1]balancete 2019'!J64-'[1]balancete 2019'!K64</f>
        <v>232591.96999999991</v>
      </c>
      <c r="K14" s="53">
        <f>'[1]balancete 2019'!L123+'[1]balancete 2019'!L124+'[1]balancete 2019'!K64-'[1]balancete 2019'!L64</f>
        <v>68440.480000000098</v>
      </c>
      <c r="L14" s="53">
        <f>'[1]balancete 2019'!M123+'[1]balancete 2019'!M124+'[1]balancete 2019'!L64-'[1]balancete 2019'!M64</f>
        <v>160989.6100000001</v>
      </c>
      <c r="M14" s="53">
        <f>'[1]balancete 2019'!N123+'[1]balancete 2019'!N124+'[1]balancete 2019'!M64-'[1]balancete 2019'!N64</f>
        <v>427600.54999999993</v>
      </c>
    </row>
    <row r="15" spans="1:13" x14ac:dyDescent="0.25">
      <c r="A15" s="39" t="s">
        <v>175</v>
      </c>
      <c r="B15" s="53">
        <f>-'[1]balancete 2019'!C109</f>
        <v>237.09</v>
      </c>
      <c r="C15" s="53">
        <f>-'[1]balancete 2019'!D109</f>
        <v>0</v>
      </c>
      <c r="D15" s="53">
        <f>-'[1]balancete 2019'!E109</f>
        <v>5542.18</v>
      </c>
      <c r="E15" s="53">
        <f>-'[1]balancete 2019'!F109</f>
        <v>1388.3599999999997</v>
      </c>
      <c r="F15" s="53">
        <f>-'[1]balancete 2019'!G109</f>
        <v>12</v>
      </c>
      <c r="G15" s="53">
        <f>-'[1]balancete 2019'!H109</f>
        <v>15184.259999999998</v>
      </c>
      <c r="H15" s="53">
        <f>-'[1]balancete 2019'!I109</f>
        <v>3999.8500000000022</v>
      </c>
      <c r="I15" s="53">
        <f>-'[1]balancete 2019'!J109</f>
        <v>6250.989999999998</v>
      </c>
      <c r="J15" s="53">
        <f>-'[1]balancete 2019'!K109</f>
        <v>9622.2599999999984</v>
      </c>
      <c r="K15" s="53">
        <f>-'[1]balancete 2019'!L109</f>
        <v>12245.490000000005</v>
      </c>
      <c r="L15" s="53">
        <f>-'[1]balancete 2019'!M109</f>
        <v>5253.3999999999942</v>
      </c>
      <c r="M15" s="53">
        <f>-'[1]balancete 2019'!N109</f>
        <v>3427.8199999999997</v>
      </c>
    </row>
    <row r="16" spans="1:13" x14ac:dyDescent="0.25">
      <c r="A16" s="59" t="s">
        <v>176</v>
      </c>
      <c r="B16" s="46" t="e">
        <f t="shared" ref="B16:M16" si="2">B7-B10</f>
        <v>#REF!</v>
      </c>
      <c r="C16" s="46">
        <f t="shared" si="2"/>
        <v>-4000.1500000008382</v>
      </c>
      <c r="D16" s="46">
        <f t="shared" si="2"/>
        <v>-221625.01000000164</v>
      </c>
      <c r="E16" s="46">
        <f t="shared" si="2"/>
        <v>-296024.94000000088</v>
      </c>
      <c r="F16" s="46">
        <f t="shared" si="2"/>
        <v>-331441.81000000099</v>
      </c>
      <c r="G16" s="46">
        <f t="shared" si="2"/>
        <v>-49275.690000004135</v>
      </c>
      <c r="H16" s="46">
        <f t="shared" si="2"/>
        <v>-23553.809999996331</v>
      </c>
      <c r="I16" s="46">
        <f t="shared" si="2"/>
        <v>268616.46000000415</v>
      </c>
      <c r="J16" s="46">
        <f t="shared" si="2"/>
        <v>27493.389999995474</v>
      </c>
      <c r="K16" s="46">
        <f t="shared" si="2"/>
        <v>-947365.26999999536</v>
      </c>
      <c r="L16" s="46">
        <f t="shared" si="2"/>
        <v>-162399.3000000068</v>
      </c>
      <c r="M16" s="46">
        <f t="shared" si="2"/>
        <v>-1099383.9100000001</v>
      </c>
    </row>
    <row r="17" spans="1:13" x14ac:dyDescent="0.25">
      <c r="A17" s="35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18" spans="1:13" x14ac:dyDescent="0.25">
      <c r="A18" s="39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</row>
    <row r="19" spans="1:13" x14ac:dyDescent="0.25">
      <c r="A19" s="35" t="s">
        <v>177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</row>
    <row r="20" spans="1:13" x14ac:dyDescent="0.25">
      <c r="A20" s="58" t="s">
        <v>167</v>
      </c>
      <c r="B20" s="52">
        <f t="shared" ref="B20:M20" si="3">B21</f>
        <v>153786.07999999999</v>
      </c>
      <c r="C20" s="52">
        <f t="shared" si="3"/>
        <v>214214.97</v>
      </c>
      <c r="D20" s="52">
        <f t="shared" si="3"/>
        <v>920508.60999999987</v>
      </c>
      <c r="E20" s="52">
        <f t="shared" si="3"/>
        <v>166535.53000000003</v>
      </c>
      <c r="F20" s="52">
        <f t="shared" si="3"/>
        <v>619185.33999999985</v>
      </c>
      <c r="G20" s="52">
        <f t="shared" si="3"/>
        <v>248819.0700000003</v>
      </c>
      <c r="H20" s="52">
        <f t="shared" si="3"/>
        <v>172717.89999999991</v>
      </c>
      <c r="I20" s="52">
        <f t="shared" si="3"/>
        <v>169023.64999999991</v>
      </c>
      <c r="J20" s="52">
        <f t="shared" si="3"/>
        <v>170592.58000000007</v>
      </c>
      <c r="K20" s="52">
        <f t="shared" si="3"/>
        <v>236914.93000000017</v>
      </c>
      <c r="L20" s="52">
        <f t="shared" si="3"/>
        <v>1377177.7699999996</v>
      </c>
      <c r="M20" s="52">
        <f t="shared" si="3"/>
        <v>1227728.3499999996</v>
      </c>
    </row>
    <row r="21" spans="1:13" x14ac:dyDescent="0.25">
      <c r="A21" s="39" t="s">
        <v>178</v>
      </c>
      <c r="B21" s="53">
        <f>'[1]balancete 2019'!C133</f>
        <v>153786.07999999999</v>
      </c>
      <c r="C21" s="53">
        <f>'[1]balancete 2019'!D133</f>
        <v>214214.97</v>
      </c>
      <c r="D21" s="53">
        <f>'[1]balancete 2019'!E133</f>
        <v>920508.60999999987</v>
      </c>
      <c r="E21" s="53">
        <f>'[1]balancete 2019'!F133</f>
        <v>166535.53000000003</v>
      </c>
      <c r="F21" s="53">
        <f>'[1]balancete 2019'!G133</f>
        <v>619185.33999999985</v>
      </c>
      <c r="G21" s="53">
        <f>'[1]balancete 2019'!H133</f>
        <v>248819.0700000003</v>
      </c>
      <c r="H21" s="53">
        <f>'[1]balancete 2019'!I133</f>
        <v>172717.89999999991</v>
      </c>
      <c r="I21" s="53">
        <f>'[1]balancete 2019'!J133</f>
        <v>169023.64999999991</v>
      </c>
      <c r="J21" s="53">
        <f>'[1]balancete 2019'!K133</f>
        <v>170592.58000000007</v>
      </c>
      <c r="K21" s="53">
        <f>'[1]balancete 2019'!L133</f>
        <v>236914.93000000017</v>
      </c>
      <c r="L21" s="53">
        <f>'[1]balancete 2019'!M133</f>
        <v>1377177.7699999996</v>
      </c>
      <c r="M21" s="53">
        <f>'[1]balancete 2019'!N133</f>
        <v>1227728.3499999996</v>
      </c>
    </row>
    <row r="22" spans="1:13" x14ac:dyDescent="0.25">
      <c r="A22" s="58" t="s">
        <v>170</v>
      </c>
      <c r="B22" s="52">
        <f t="shared" ref="B22:M22" si="4">B23</f>
        <v>0</v>
      </c>
      <c r="C22" s="52">
        <f t="shared" si="4"/>
        <v>0</v>
      </c>
      <c r="D22" s="52">
        <f t="shared" si="4"/>
        <v>0</v>
      </c>
      <c r="E22" s="52">
        <f t="shared" si="4"/>
        <v>13471.69</v>
      </c>
      <c r="F22" s="52">
        <f t="shared" si="4"/>
        <v>221.26999999999862</v>
      </c>
      <c r="G22" s="52">
        <f t="shared" si="4"/>
        <v>221.27000000000044</v>
      </c>
      <c r="H22" s="52">
        <f t="shared" si="4"/>
        <v>-1278.7299999999996</v>
      </c>
      <c r="I22" s="52">
        <f t="shared" si="4"/>
        <v>920.96999999999935</v>
      </c>
      <c r="J22" s="52">
        <f t="shared" si="4"/>
        <v>221.27000000000044</v>
      </c>
      <c r="K22" s="52">
        <f t="shared" si="4"/>
        <v>221.27000000000044</v>
      </c>
      <c r="L22" s="52">
        <f t="shared" si="4"/>
        <v>221.27000000000044</v>
      </c>
      <c r="M22" s="52">
        <f t="shared" si="4"/>
        <v>20460.36</v>
      </c>
    </row>
    <row r="23" spans="1:13" x14ac:dyDescent="0.25">
      <c r="A23" s="39" t="s">
        <v>179</v>
      </c>
      <c r="B23" s="53">
        <f>'[1]balancete 2019'!C138</f>
        <v>0</v>
      </c>
      <c r="C23" s="53">
        <f>'[1]balancete 2019'!D138</f>
        <v>0</v>
      </c>
      <c r="D23" s="53">
        <f>'[1]balancete 2019'!E138</f>
        <v>0</v>
      </c>
      <c r="E23" s="53">
        <f>'[1]balancete 2019'!F138</f>
        <v>13471.69</v>
      </c>
      <c r="F23" s="53">
        <f>'[1]balancete 2019'!G138</f>
        <v>221.26999999999862</v>
      </c>
      <c r="G23" s="53">
        <f>'[1]balancete 2019'!H138</f>
        <v>221.27000000000044</v>
      </c>
      <c r="H23" s="53">
        <f>'[1]balancete 2019'!I138</f>
        <v>-1278.7299999999996</v>
      </c>
      <c r="I23" s="53">
        <f>'[1]balancete 2019'!J138</f>
        <v>920.96999999999935</v>
      </c>
      <c r="J23" s="53">
        <f>'[1]balancete 2019'!K138</f>
        <v>221.27000000000044</v>
      </c>
      <c r="K23" s="53">
        <f>'[1]balancete 2019'!L138</f>
        <v>221.27000000000044</v>
      </c>
      <c r="L23" s="53">
        <f>'[1]balancete 2019'!M138</f>
        <v>221.27000000000044</v>
      </c>
      <c r="M23" s="53">
        <f>'[1]balancete 2019'!N138</f>
        <v>20460.36</v>
      </c>
    </row>
    <row r="24" spans="1:13" x14ac:dyDescent="0.25">
      <c r="A24" s="59" t="s">
        <v>180</v>
      </c>
      <c r="B24" s="46">
        <f>B20-B22</f>
        <v>153786.07999999999</v>
      </c>
      <c r="C24" s="46">
        <f t="shared" ref="C24:M24" si="5">C20-C22</f>
        <v>214214.97</v>
      </c>
      <c r="D24" s="46">
        <f t="shared" si="5"/>
        <v>920508.60999999987</v>
      </c>
      <c r="E24" s="46">
        <f t="shared" si="5"/>
        <v>153063.84000000003</v>
      </c>
      <c r="F24" s="46">
        <f t="shared" si="5"/>
        <v>618964.06999999983</v>
      </c>
      <c r="G24" s="46">
        <f t="shared" si="5"/>
        <v>248597.80000000031</v>
      </c>
      <c r="H24" s="46">
        <f t="shared" si="5"/>
        <v>173996.62999999992</v>
      </c>
      <c r="I24" s="46">
        <f t="shared" si="5"/>
        <v>168102.67999999991</v>
      </c>
      <c r="J24" s="46">
        <f t="shared" si="5"/>
        <v>170371.31000000008</v>
      </c>
      <c r="K24" s="46">
        <f t="shared" si="5"/>
        <v>236693.66000000018</v>
      </c>
      <c r="L24" s="46">
        <f t="shared" si="5"/>
        <v>1376956.4999999995</v>
      </c>
      <c r="M24" s="46">
        <f t="shared" si="5"/>
        <v>1207267.9899999995</v>
      </c>
    </row>
    <row r="25" spans="1:13" x14ac:dyDescent="0.25">
      <c r="A25" s="35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</row>
    <row r="26" spans="1:13" x14ac:dyDescent="0.25">
      <c r="A26" s="39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</row>
    <row r="27" spans="1:13" x14ac:dyDescent="0.25">
      <c r="A27" s="35" t="s">
        <v>181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8" spans="1:13" x14ac:dyDescent="0.25">
      <c r="A28" s="58" t="s">
        <v>167</v>
      </c>
      <c r="B28" s="52">
        <f t="shared" ref="B28:M28" si="6">B29+B30</f>
        <v>68320.570000000298</v>
      </c>
      <c r="C28" s="52">
        <f t="shared" si="6"/>
        <v>68320.569999999832</v>
      </c>
      <c r="D28" s="52">
        <f t="shared" si="6"/>
        <v>68320.570000000298</v>
      </c>
      <c r="E28" s="52">
        <f t="shared" si="6"/>
        <v>68320.55999999959</v>
      </c>
      <c r="F28" s="52">
        <f t="shared" si="6"/>
        <v>68320.570000000298</v>
      </c>
      <c r="G28" s="52">
        <f t="shared" si="6"/>
        <v>68320.569999999832</v>
      </c>
      <c r="H28" s="52">
        <f t="shared" si="6"/>
        <v>68320.569999999832</v>
      </c>
      <c r="I28" s="52">
        <f t="shared" si="6"/>
        <v>68320.570000000298</v>
      </c>
      <c r="J28" s="52">
        <f t="shared" si="6"/>
        <v>68320.569999999832</v>
      </c>
      <c r="K28" s="52">
        <f t="shared" si="6"/>
        <v>68320.569999999832</v>
      </c>
      <c r="L28" s="52">
        <f t="shared" si="6"/>
        <v>68320.560000000522</v>
      </c>
      <c r="M28" s="52">
        <f t="shared" si="6"/>
        <v>155365.13999999966</v>
      </c>
    </row>
    <row r="29" spans="1:13" x14ac:dyDescent="0.25">
      <c r="A29" s="39" t="s">
        <v>182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</row>
    <row r="30" spans="1:13" x14ac:dyDescent="0.25">
      <c r="A30" s="39" t="s">
        <v>183</v>
      </c>
      <c r="B30" s="53">
        <f>'[1]balancete 2019'!C36-'[1]balancete 2019'!B36</f>
        <v>68320.570000000298</v>
      </c>
      <c r="C30" s="53">
        <f>'[1]balancete 2019'!D36-'[1]balancete 2019'!C36</f>
        <v>68320.569999999832</v>
      </c>
      <c r="D30" s="53">
        <f>'[1]balancete 2019'!E36-'[1]balancete 2019'!D36</f>
        <v>68320.570000000298</v>
      </c>
      <c r="E30" s="53">
        <f>'[1]balancete 2019'!F36-'[1]balancete 2019'!E36</f>
        <v>68320.55999999959</v>
      </c>
      <c r="F30" s="53">
        <f>'[1]balancete 2019'!G36-'[1]balancete 2019'!F36</f>
        <v>68320.570000000298</v>
      </c>
      <c r="G30" s="53">
        <f>'[1]balancete 2019'!H36-'[1]balancete 2019'!G36</f>
        <v>68320.569999999832</v>
      </c>
      <c r="H30" s="53">
        <f>'[1]balancete 2019'!I36-'[1]balancete 2019'!H36</f>
        <v>68320.569999999832</v>
      </c>
      <c r="I30" s="53">
        <f>'[1]balancete 2019'!J36-'[1]balancete 2019'!I36</f>
        <v>68320.570000000298</v>
      </c>
      <c r="J30" s="53">
        <f>'[1]balancete 2019'!K36-'[1]balancete 2019'!J36</f>
        <v>68320.569999999832</v>
      </c>
      <c r="K30" s="53">
        <f>'[1]balancete 2019'!L36-'[1]balancete 2019'!K36</f>
        <v>68320.569999999832</v>
      </c>
      <c r="L30" s="53">
        <f>'[1]balancete 2019'!M36-'[1]balancete 2019'!L36</f>
        <v>68320.560000000522</v>
      </c>
      <c r="M30" s="53">
        <f>'[1]balancete 2019'!N36-'[1]balancete 2019'!M36</f>
        <v>155365.13999999966</v>
      </c>
    </row>
    <row r="31" spans="1:13" x14ac:dyDescent="0.25">
      <c r="A31" s="58" t="s">
        <v>170</v>
      </c>
      <c r="B31" s="52">
        <f t="shared" ref="B31:M31" si="7">B32+B33</f>
        <v>21115.209999998682</v>
      </c>
      <c r="C31" s="52">
        <f t="shared" si="7"/>
        <v>117611.10999999964</v>
      </c>
      <c r="D31" s="52">
        <f t="shared" si="7"/>
        <v>70079.870000001742</v>
      </c>
      <c r="E31" s="52">
        <f t="shared" si="7"/>
        <v>111578.90999999992</v>
      </c>
      <c r="F31" s="52">
        <f t="shared" si="7"/>
        <v>54001.059999998077</v>
      </c>
      <c r="G31" s="52">
        <f t="shared" si="7"/>
        <v>43705.210000000079</v>
      </c>
      <c r="H31" s="52">
        <f t="shared" si="7"/>
        <v>64478.709999999497</v>
      </c>
      <c r="I31" s="52">
        <f t="shared" si="7"/>
        <v>48316.550000001909</v>
      </c>
      <c r="J31" s="52">
        <f t="shared" si="7"/>
        <v>39946.519999997923</v>
      </c>
      <c r="K31" s="52">
        <f t="shared" si="7"/>
        <v>195691.7200000002</v>
      </c>
      <c r="L31" s="52">
        <f t="shared" si="7"/>
        <v>60678.350000002538</v>
      </c>
      <c r="M31" s="52">
        <f t="shared" si="7"/>
        <v>89778.859999999171</v>
      </c>
    </row>
    <row r="32" spans="1:13" x14ac:dyDescent="0.25">
      <c r="A32" s="39" t="s">
        <v>184</v>
      </c>
      <c r="B32" s="53">
        <f>'[1]balancete 2019'!C34+'[1]balancete 2019'!C35-'[1]balancete 2019'!B34-'[1]balancete 2019'!B35</f>
        <v>21083.559999998659</v>
      </c>
      <c r="C32" s="53">
        <f>'[1]balancete 2019'!D34+'[1]balancete 2019'!D35-'[1]balancete 2019'!C34-'[1]balancete 2019'!C35</f>
        <v>117579.6799999997</v>
      </c>
      <c r="D32" s="53">
        <f>'[1]balancete 2019'!E34+'[1]balancete 2019'!E35-'[1]balancete 2019'!D34-'[1]balancete 2019'!D35</f>
        <v>70049.010000001639</v>
      </c>
      <c r="E32" s="53">
        <f>'[1]balancete 2019'!F34+'[1]balancete 2019'!F35-'[1]balancete 2019'!E34-'[1]balancete 2019'!E35</f>
        <v>111548.25</v>
      </c>
      <c r="F32" s="53">
        <f>'[1]balancete 2019'!G34+'[1]balancete 2019'!G35-'[1]balancete 2019'!F34-'[1]balancete 2019'!F35</f>
        <v>53970.169999998063</v>
      </c>
      <c r="G32" s="53">
        <f>'[1]balancete 2019'!H34+'[1]balancete 2019'!H35-'[1]balancete 2019'!G34-'[1]balancete 2019'!G35</f>
        <v>43674</v>
      </c>
      <c r="H32" s="53">
        <f>'[1]balancete 2019'!I34+'[1]balancete 2019'!I35-'[1]balancete 2019'!H34-'[1]balancete 2019'!H35</f>
        <v>64351.019999999553</v>
      </c>
      <c r="I32" s="53">
        <f>'[1]balancete 2019'!J34+'[1]balancete 2019'!J35-'[1]balancete 2019'!I34-'[1]balancete 2019'!I35</f>
        <v>48188.580000001937</v>
      </c>
      <c r="J32" s="53">
        <f>'[1]balancete 2019'!K34+'[1]balancete 2019'!K35-'[1]balancete 2019'!J34-'[1]balancete 2019'!J35</f>
        <v>39820.009999997914</v>
      </c>
      <c r="K32" s="53">
        <f>'[1]balancete 2019'!L34+'[1]balancete 2019'!L35-'[1]balancete 2019'!K34-'[1]balancete 2019'!K35</f>
        <v>195566.66000000015</v>
      </c>
      <c r="L32" s="53">
        <f>'[1]balancete 2019'!M34+'[1]balancete 2019'!M35-'[1]balancete 2019'!L34-'[1]balancete 2019'!L35</f>
        <v>60554.720000002533</v>
      </c>
      <c r="M32" s="53">
        <f>'[1]balancete 2019'!N34+'[1]balancete 2019'!N35-'[1]balancete 2019'!M34-'[1]balancete 2019'!M35</f>
        <v>43489.949999999255</v>
      </c>
    </row>
    <row r="33" spans="1:13" x14ac:dyDescent="0.25">
      <c r="A33" s="39" t="s">
        <v>185</v>
      </c>
      <c r="B33" s="53">
        <f>'[1]balancete 2019'!C28-'[1]balancete 2019'!B28</f>
        <v>31.650000000023283</v>
      </c>
      <c r="C33" s="53">
        <f>'[1]balancete 2019'!D28-'[1]balancete 2019'!C28</f>
        <v>31.429999999934807</v>
      </c>
      <c r="D33" s="53">
        <f>'[1]balancete 2019'!E28-'[1]balancete 2019'!D28</f>
        <v>30.860000000102445</v>
      </c>
      <c r="E33" s="53">
        <f>'[1]balancete 2019'!F28-'[1]balancete 2019'!E28</f>
        <v>30.659999999916181</v>
      </c>
      <c r="F33" s="53">
        <f>'[1]balancete 2019'!G28-'[1]balancete 2019'!F28</f>
        <v>30.89000000001397</v>
      </c>
      <c r="G33" s="53">
        <f>'[1]balancete 2019'!H28-'[1]balancete 2019'!G28</f>
        <v>31.210000000079162</v>
      </c>
      <c r="H33" s="53">
        <f>'[1]balancete 2019'!I28-'[1]balancete 2019'!H28</f>
        <v>127.68999999994412</v>
      </c>
      <c r="I33" s="53">
        <f>'[1]balancete 2019'!J28-'[1]balancete 2019'!I28</f>
        <v>127.96999999997206</v>
      </c>
      <c r="J33" s="53">
        <f>'[1]balancete 2019'!K28-'[1]balancete 2019'!J28</f>
        <v>126.51000000000931</v>
      </c>
      <c r="K33" s="53">
        <f>'[1]balancete 2019'!L28-'[1]balancete 2019'!K28</f>
        <v>125.06000000005588</v>
      </c>
      <c r="L33" s="53">
        <f>'[1]balancete 2019'!M28-'[1]balancete 2019'!L28</f>
        <v>123.63000000000466</v>
      </c>
      <c r="M33" s="53">
        <f>'[1]balancete 2019'!N28-'[1]balancete 2019'!M28</f>
        <v>46288.909999999916</v>
      </c>
    </row>
    <row r="34" spans="1:13" x14ac:dyDescent="0.25">
      <c r="A34" s="59" t="s">
        <v>186</v>
      </c>
      <c r="B34" s="46">
        <f t="shared" ref="B34:M34" si="8">B28-B31</f>
        <v>47205.360000001616</v>
      </c>
      <c r="C34" s="46">
        <f t="shared" si="8"/>
        <v>-49290.539999999804</v>
      </c>
      <c r="D34" s="46">
        <f t="shared" si="8"/>
        <v>-1759.3000000014435</v>
      </c>
      <c r="E34" s="46">
        <f t="shared" si="8"/>
        <v>-43258.350000000326</v>
      </c>
      <c r="F34" s="46">
        <f t="shared" si="8"/>
        <v>14319.510000002221</v>
      </c>
      <c r="G34" s="46">
        <f t="shared" si="8"/>
        <v>24615.359999999753</v>
      </c>
      <c r="H34" s="46">
        <f t="shared" si="8"/>
        <v>3841.8600000003353</v>
      </c>
      <c r="I34" s="46">
        <f t="shared" si="8"/>
        <v>20004.019999998389</v>
      </c>
      <c r="J34" s="46">
        <f t="shared" si="8"/>
        <v>28374.050000001909</v>
      </c>
      <c r="K34" s="46">
        <f t="shared" si="8"/>
        <v>-127371.15000000037</v>
      </c>
      <c r="L34" s="46">
        <f t="shared" si="8"/>
        <v>7642.2099999979837</v>
      </c>
      <c r="M34" s="46">
        <f t="shared" si="8"/>
        <v>65586.280000000494</v>
      </c>
    </row>
    <row r="35" spans="1:13" x14ac:dyDescent="0.25">
      <c r="A35" s="35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</row>
    <row r="36" spans="1:13" x14ac:dyDescent="0.25">
      <c r="A36" s="39" t="s">
        <v>69</v>
      </c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</row>
    <row r="37" spans="1:13" x14ac:dyDescent="0.25">
      <c r="A37" s="35" t="s">
        <v>187</v>
      </c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</row>
    <row r="38" spans="1:13" x14ac:dyDescent="0.25">
      <c r="A38" s="58" t="s">
        <v>167</v>
      </c>
      <c r="B38" s="52">
        <f t="shared" ref="B38:M38" si="9">B39+B40</f>
        <v>0</v>
      </c>
      <c r="C38" s="52">
        <f t="shared" si="9"/>
        <v>0</v>
      </c>
      <c r="D38" s="52">
        <f t="shared" si="9"/>
        <v>0</v>
      </c>
      <c r="E38" s="52">
        <f t="shared" si="9"/>
        <v>0</v>
      </c>
      <c r="F38" s="52">
        <f t="shared" si="9"/>
        <v>0</v>
      </c>
      <c r="G38" s="52">
        <f t="shared" si="9"/>
        <v>0</v>
      </c>
      <c r="H38" s="52">
        <f t="shared" si="9"/>
        <v>480000</v>
      </c>
      <c r="I38" s="52">
        <f t="shared" si="9"/>
        <v>0</v>
      </c>
      <c r="J38" s="52">
        <f t="shared" si="9"/>
        <v>0</v>
      </c>
      <c r="K38" s="52">
        <f t="shared" si="9"/>
        <v>600000</v>
      </c>
      <c r="L38" s="52">
        <f t="shared" si="9"/>
        <v>2500000</v>
      </c>
      <c r="M38" s="52">
        <f t="shared" si="9"/>
        <v>5500000</v>
      </c>
    </row>
    <row r="39" spans="1:13" x14ac:dyDescent="0.25">
      <c r="A39" s="39" t="s">
        <v>188</v>
      </c>
      <c r="B39" s="53">
        <v>0</v>
      </c>
      <c r="C39" s="53">
        <v>0</v>
      </c>
      <c r="D39" s="53">
        <v>0</v>
      </c>
      <c r="E39" s="53">
        <v>0</v>
      </c>
      <c r="F39" s="53">
        <v>0</v>
      </c>
      <c r="G39" s="53">
        <v>0</v>
      </c>
      <c r="H39" s="53">
        <v>480000</v>
      </c>
      <c r="I39" s="53">
        <v>0</v>
      </c>
      <c r="J39" s="53">
        <v>0</v>
      </c>
      <c r="K39" s="53">
        <v>600000</v>
      </c>
      <c r="L39" s="53">
        <v>2500000</v>
      </c>
      <c r="M39" s="53">
        <v>5500000</v>
      </c>
    </row>
    <row r="40" spans="1:13" x14ac:dyDescent="0.25">
      <c r="A40" s="39" t="s">
        <v>189</v>
      </c>
      <c r="B40" s="60">
        <v>0</v>
      </c>
      <c r="C40" s="60">
        <v>0</v>
      </c>
      <c r="D40" s="60">
        <v>0</v>
      </c>
      <c r="E40" s="60">
        <v>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  <c r="M40" s="60">
        <v>0</v>
      </c>
    </row>
    <row r="41" spans="1:13" x14ac:dyDescent="0.25">
      <c r="A41" s="58" t="s">
        <v>170</v>
      </c>
      <c r="B41" s="52" t="e">
        <f t="shared" ref="B41:M41" si="10">B42+B43+B44</f>
        <v>#REF!</v>
      </c>
      <c r="C41" s="52">
        <f t="shared" si="10"/>
        <v>211138.64999999935</v>
      </c>
      <c r="D41" s="52">
        <f t="shared" si="10"/>
        <v>-40860.879999999182</v>
      </c>
      <c r="E41" s="52">
        <f t="shared" si="10"/>
        <v>-52274.319999999541</v>
      </c>
      <c r="F41" s="52">
        <f t="shared" si="10"/>
        <v>-66596.16000000012</v>
      </c>
      <c r="G41" s="52">
        <f t="shared" si="10"/>
        <v>226945.82999999984</v>
      </c>
      <c r="H41" s="52">
        <f t="shared" si="10"/>
        <v>656206.72</v>
      </c>
      <c r="I41" s="52">
        <f t="shared" si="10"/>
        <v>438339.71000000084</v>
      </c>
      <c r="J41" s="52">
        <f t="shared" si="10"/>
        <v>259440.16999999929</v>
      </c>
      <c r="K41" s="52">
        <f t="shared" si="10"/>
        <v>389258.78000000026</v>
      </c>
      <c r="L41" s="52">
        <f t="shared" si="10"/>
        <v>3045899.2399999993</v>
      </c>
      <c r="M41" s="52">
        <f t="shared" si="10"/>
        <v>5406291.8100000005</v>
      </c>
    </row>
    <row r="42" spans="1:13" x14ac:dyDescent="0.25">
      <c r="A42" s="39" t="s">
        <v>190</v>
      </c>
      <c r="B42" s="60" t="e">
        <f>'[1]balancete 2019'!B50+'[1]balancete 2019'!B71+'[1]balancete 2019'!B72+'[1]balancete 2019'!B81-'[1]balancete 2019'!C50-'[1]balancete 2019'!C71-'[1]balancete 2019'!C72-'[1]balancete 2019'!C81</f>
        <v>#REF!</v>
      </c>
      <c r="C42" s="60">
        <f>'[1]balancete 2019'!C50+'[1]balancete 2019'!C71+'[1]balancete 2019'!C72+'[1]balancete 2019'!C81-'[1]balancete 2019'!D50-'[1]balancete 2019'!D71-'[1]balancete 2019'!D72-'[1]balancete 2019'!D81</f>
        <v>-7105.9700000006706</v>
      </c>
      <c r="D42" s="60">
        <f>'[1]balancete 2019'!D50+'[1]balancete 2019'!D71+'[1]balancete 2019'!D72+'[1]balancete 2019'!D81-'[1]balancete 2019'!E50-'[1]balancete 2019'!E71-'[1]balancete 2019'!E72-'[1]balancete 2019'!E81</f>
        <v>-270377.11999999918</v>
      </c>
      <c r="E42" s="60">
        <f>'[1]balancete 2019'!E50+'[1]balancete 2019'!E71+'[1]balancete 2019'!E72+'[1]balancete 2019'!E81-'[1]balancete 2019'!F50-'[1]balancete 2019'!F71-'[1]balancete 2019'!F72-'[1]balancete 2019'!F81</f>
        <v>-269940.76999999955</v>
      </c>
      <c r="F42" s="60">
        <f>'[1]balancete 2019'!F50+'[1]balancete 2019'!F71+'[1]balancete 2019'!F72+'[1]balancete 2019'!F81-'[1]balancete 2019'!G50-'[1]balancete 2019'!G71-'[1]balancete 2019'!G72-'[1]balancete 2019'!G81</f>
        <v>-278869.5</v>
      </c>
      <c r="G42" s="60">
        <f>'[1]balancete 2019'!G50+'[1]balancete 2019'!G71+'[1]balancete 2019'!G72+'[1]balancete 2019'!G81-'[1]balancete 2019'!H50-'[1]balancete 2019'!H71-'[1]balancete 2019'!H72-'[1]balancete 2019'!H81</f>
        <v>166788.71999999974</v>
      </c>
      <c r="H42" s="60">
        <v>421609.4</v>
      </c>
      <c r="I42" s="60">
        <f>'[1]balancete 2019'!I50+'[1]balancete 2019'!I71+'[1]balancete 2019'!I72+'[1]balancete 2019'!I81-'[1]balancete 2019'!J50-'[1]balancete 2019'!J71-'[1]balancete 2019'!J72-'[1]balancete 2019'!J81</f>
        <v>218148.01000000071</v>
      </c>
      <c r="J42" s="60">
        <f>'[1]balancete 2019'!J50+'[1]balancete 2019'!J71+'[1]balancete 2019'!J72+'[1]balancete 2019'!J81-'[1]balancete 2019'!K50-'[1]balancete 2019'!K71-'[1]balancete 2019'!K72-'[1]balancete 2019'!K81</f>
        <v>48320.149999999441</v>
      </c>
      <c r="K42" s="60">
        <v>187421.01</v>
      </c>
      <c r="L42" s="60">
        <v>2538719.59</v>
      </c>
      <c r="M42" s="60">
        <v>4999225.3600000003</v>
      </c>
    </row>
    <row r="43" spans="1:13" x14ac:dyDescent="0.25">
      <c r="A43" s="39" t="s">
        <v>191</v>
      </c>
      <c r="B43" s="60">
        <f>'[1]balancete 2019'!C141-'[1]balancete 2019'!C143</f>
        <v>196860.49000000002</v>
      </c>
      <c r="C43" s="60">
        <f>'[1]balancete 2019'!D141-'[1]balancete 2019'!D143</f>
        <v>218244.62000000002</v>
      </c>
      <c r="D43" s="60">
        <f>'[1]balancete 2019'!E141-'[1]balancete 2019'!E143</f>
        <v>226883.5</v>
      </c>
      <c r="E43" s="60">
        <f>'[1]balancete 2019'!F141-'[1]balancete 2019'!F143</f>
        <v>217666.45</v>
      </c>
      <c r="F43" s="60">
        <f>'[1]balancete 2019'!G141-'[1]balancete 2019'!G143</f>
        <v>213410.65999999989</v>
      </c>
      <c r="G43" s="60">
        <f>'[1]balancete 2019'!H141-'[1]balancete 2019'!H143</f>
        <v>60157.110000000102</v>
      </c>
      <c r="H43" s="60">
        <f>'[1]balancete 2019'!I141-'[1]balancete 2019'!I143</f>
        <v>234597.31999999995</v>
      </c>
      <c r="I43" s="60">
        <f>'[1]balancete 2019'!J141-'[1]balancete 2019'!J143</f>
        <v>220191.70000000013</v>
      </c>
      <c r="J43" s="60">
        <f>'[1]balancete 2019'!K141-'[1]balancete 2019'!K143</f>
        <v>211120.01999999984</v>
      </c>
      <c r="K43" s="60">
        <f>'[1]balancete 2019'!L141-'[1]balancete 2019'!L143</f>
        <v>218479.07000000024</v>
      </c>
      <c r="L43" s="60">
        <f>'[1]balancete 2019'!M141-'[1]balancete 2019'!M143</f>
        <v>507179.64999999967</v>
      </c>
      <c r="M43" s="60">
        <f>'[1]balancete 2019'!N141-'[1]balancete 2019'!N143</f>
        <v>407066.4500000003</v>
      </c>
    </row>
    <row r="44" spans="1:13" x14ac:dyDescent="0.25">
      <c r="A44" s="39" t="s">
        <v>192</v>
      </c>
      <c r="B44" s="53">
        <v>6300</v>
      </c>
      <c r="C44" s="53">
        <v>0</v>
      </c>
      <c r="D44" s="53">
        <v>2632.74</v>
      </c>
      <c r="E44" s="53"/>
      <c r="F44" s="53">
        <v>-1137.32</v>
      </c>
      <c r="G44" s="53"/>
      <c r="H44" s="53"/>
      <c r="I44" s="53"/>
      <c r="J44" s="53"/>
      <c r="K44" s="53">
        <v>-16641.3</v>
      </c>
      <c r="L44" s="53"/>
      <c r="M44" s="53"/>
    </row>
    <row r="45" spans="1:13" x14ac:dyDescent="0.25">
      <c r="A45" s="59" t="s">
        <v>193</v>
      </c>
      <c r="B45" s="61" t="e">
        <f t="shared" ref="B45:M45" si="11">B38-B41</f>
        <v>#REF!</v>
      </c>
      <c r="C45" s="61">
        <f t="shared" si="11"/>
        <v>-211138.64999999935</v>
      </c>
      <c r="D45" s="61">
        <f t="shared" si="11"/>
        <v>40860.879999999182</v>
      </c>
      <c r="E45" s="61">
        <f t="shared" si="11"/>
        <v>52274.319999999541</v>
      </c>
      <c r="F45" s="61">
        <f t="shared" si="11"/>
        <v>66596.16000000012</v>
      </c>
      <c r="G45" s="61">
        <f t="shared" si="11"/>
        <v>-226945.82999999984</v>
      </c>
      <c r="H45" s="61">
        <f t="shared" si="11"/>
        <v>-176206.71999999997</v>
      </c>
      <c r="I45" s="61">
        <f t="shared" si="11"/>
        <v>-438339.71000000084</v>
      </c>
      <c r="J45" s="61">
        <f t="shared" si="11"/>
        <v>-259440.16999999929</v>
      </c>
      <c r="K45" s="61">
        <f t="shared" si="11"/>
        <v>210741.21999999974</v>
      </c>
      <c r="L45" s="61">
        <f t="shared" si="11"/>
        <v>-545899.23999999929</v>
      </c>
      <c r="M45" s="61">
        <f t="shared" si="11"/>
        <v>93708.189999999478</v>
      </c>
    </row>
    <row r="46" spans="1:13" x14ac:dyDescent="0.25">
      <c r="A46" s="35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</row>
    <row r="47" spans="1:13" x14ac:dyDescent="0.25">
      <c r="A47" s="35" t="s">
        <v>194</v>
      </c>
      <c r="B47" s="62" t="e">
        <f t="shared" ref="B47:M47" si="12">B16+B24+B34+B45</f>
        <v>#REF!</v>
      </c>
      <c r="C47" s="62">
        <f t="shared" si="12"/>
        <v>-50214.369999999995</v>
      </c>
      <c r="D47" s="62">
        <f t="shared" si="12"/>
        <v>737985.17999999598</v>
      </c>
      <c r="E47" s="62">
        <f t="shared" si="12"/>
        <v>-133945.13000000163</v>
      </c>
      <c r="F47" s="62">
        <f t="shared" si="12"/>
        <v>368437.93000000122</v>
      </c>
      <c r="G47" s="62">
        <f t="shared" si="12"/>
        <v>-3008.360000003915</v>
      </c>
      <c r="H47" s="62">
        <f t="shared" si="12"/>
        <v>-21922.03999999605</v>
      </c>
      <c r="I47" s="62">
        <f t="shared" si="12"/>
        <v>18383.450000001641</v>
      </c>
      <c r="J47" s="62">
        <f t="shared" si="12"/>
        <v>-33201.420000001817</v>
      </c>
      <c r="K47" s="62">
        <f t="shared" si="12"/>
        <v>-627301.53999999585</v>
      </c>
      <c r="L47" s="62">
        <f t="shared" si="12"/>
        <v>676300.16999999154</v>
      </c>
      <c r="M47" s="62">
        <f t="shared" si="12"/>
        <v>267178.54999999935</v>
      </c>
    </row>
    <row r="48" spans="1:13" x14ac:dyDescent="0.25">
      <c r="A48" s="35"/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</row>
    <row r="49" spans="1:13" x14ac:dyDescent="0.25">
      <c r="A49" s="35" t="s">
        <v>195</v>
      </c>
      <c r="B49" s="62">
        <f>'[1]balancete 2019'!B7</f>
        <v>1764745.93</v>
      </c>
      <c r="C49" s="62">
        <f>'[1]balancete 2019'!C7</f>
        <v>1503666.87</v>
      </c>
      <c r="D49" s="62">
        <f>'[1]balancete 2019'!D7</f>
        <v>1453452.5</v>
      </c>
      <c r="E49" s="62">
        <f>'[1]balancete 2019'!E7</f>
        <v>2191437.6800000002</v>
      </c>
      <c r="F49" s="62">
        <f>'[1]balancete 2019'!F7</f>
        <v>2057492.55</v>
      </c>
      <c r="G49" s="62">
        <f>'[1]balancete 2019'!G7</f>
        <v>2425930.48</v>
      </c>
      <c r="H49" s="62">
        <f>'[1]balancete 2019'!H7</f>
        <v>2422922.12</v>
      </c>
      <c r="I49" s="62">
        <f>'[1]balancete 2019'!I7</f>
        <v>2401000.08</v>
      </c>
      <c r="J49" s="62">
        <f>'[1]balancete 2019'!J7</f>
        <v>2419383.5300000003</v>
      </c>
      <c r="K49" s="62">
        <f>'[1]balancete 2019'!K7</f>
        <v>2386182.11</v>
      </c>
      <c r="L49" s="62">
        <f>'[1]balancete 2019'!L7</f>
        <v>1758880.57</v>
      </c>
      <c r="M49" s="62">
        <f>'[1]balancete 2019'!M7</f>
        <v>2435180.7400000002</v>
      </c>
    </row>
    <row r="50" spans="1:13" x14ac:dyDescent="0.25">
      <c r="A50" s="59" t="s">
        <v>196</v>
      </c>
      <c r="B50" s="61" t="e">
        <f t="shared" ref="B50:M50" si="13">B47+B49</f>
        <v>#REF!</v>
      </c>
      <c r="C50" s="61">
        <f t="shared" si="13"/>
        <v>1453452.5</v>
      </c>
      <c r="D50" s="61">
        <f t="shared" si="13"/>
        <v>2191437.679999996</v>
      </c>
      <c r="E50" s="61">
        <f t="shared" si="13"/>
        <v>2057492.5499999984</v>
      </c>
      <c r="F50" s="61">
        <f t="shared" si="13"/>
        <v>2425930.4800000014</v>
      </c>
      <c r="G50" s="61">
        <f t="shared" si="13"/>
        <v>2422922.1199999959</v>
      </c>
      <c r="H50" s="61">
        <f t="shared" si="13"/>
        <v>2401000.0800000043</v>
      </c>
      <c r="I50" s="61">
        <f t="shared" si="13"/>
        <v>2419383.5300000017</v>
      </c>
      <c r="J50" s="61">
        <f t="shared" si="13"/>
        <v>2386182.1099999985</v>
      </c>
      <c r="K50" s="61">
        <f t="shared" si="13"/>
        <v>1758880.570000004</v>
      </c>
      <c r="L50" s="61">
        <f t="shared" si="13"/>
        <v>2435180.7399999918</v>
      </c>
      <c r="M50" s="61">
        <f t="shared" si="13"/>
        <v>2702359.2899999996</v>
      </c>
    </row>
    <row r="51" spans="1:13" x14ac:dyDescent="0.25">
      <c r="A51" s="35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</row>
    <row r="52" spans="1:13" x14ac:dyDescent="0.25">
      <c r="A52" s="35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52"/>
      <c r="M52" s="63"/>
    </row>
    <row r="53" spans="1:13" x14ac:dyDescent="0.25">
      <c r="A53" s="52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</row>
    <row r="54" spans="1:13" x14ac:dyDescent="0.25">
      <c r="A54" s="64" t="s">
        <v>197</v>
      </c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</row>
    <row r="55" spans="1:13" x14ac:dyDescent="0.25">
      <c r="A55" s="31"/>
      <c r="B55" s="15"/>
      <c r="C55" s="15"/>
      <c r="D55" s="15"/>
      <c r="E55" s="15"/>
      <c r="F55" s="15"/>
      <c r="G55" s="15"/>
      <c r="H55" s="15"/>
      <c r="I55" s="15"/>
      <c r="J55" s="53"/>
      <c r="K55" s="51"/>
      <c r="L55" s="53"/>
      <c r="M55" s="53"/>
    </row>
    <row r="56" spans="1:13" x14ac:dyDescent="0.25">
      <c r="A56" s="31"/>
      <c r="B56" s="15"/>
      <c r="C56" s="15"/>
      <c r="D56" s="15"/>
      <c r="E56" s="15"/>
      <c r="F56" s="15"/>
      <c r="G56" s="15"/>
      <c r="H56" s="15"/>
      <c r="I56" s="15"/>
      <c r="J56" s="65"/>
      <c r="K56" s="53"/>
      <c r="L56" s="53"/>
      <c r="M56" s="53"/>
    </row>
    <row r="57" spans="1:13" x14ac:dyDescent="0.25">
      <c r="A57" s="31"/>
      <c r="B57" s="3"/>
      <c r="C57" s="3" t="s">
        <v>61</v>
      </c>
      <c r="D57" s="15"/>
      <c r="E57" s="15"/>
      <c r="F57" s="15"/>
      <c r="G57" s="15"/>
      <c r="H57" s="39"/>
      <c r="I57" s="3" t="s">
        <v>62</v>
      </c>
      <c r="J57" s="39"/>
      <c r="K57" s="53"/>
      <c r="L57" s="53"/>
      <c r="M57" s="53"/>
    </row>
    <row r="58" spans="1:13" x14ac:dyDescent="0.25">
      <c r="A58" s="31"/>
      <c r="B58" s="3"/>
      <c r="C58" s="3" t="s">
        <v>63</v>
      </c>
      <c r="D58" s="15"/>
      <c r="E58" s="15"/>
      <c r="F58" s="15"/>
      <c r="G58" s="15"/>
      <c r="H58" s="39"/>
      <c r="I58" s="3" t="s">
        <v>64</v>
      </c>
      <c r="J58" s="39"/>
      <c r="K58" s="60"/>
      <c r="L58" s="53"/>
      <c r="M58" s="60"/>
    </row>
    <row r="59" spans="1:13" x14ac:dyDescent="0.25">
      <c r="A59" s="31"/>
      <c r="B59" s="28"/>
      <c r="C59" s="28" t="s">
        <v>65</v>
      </c>
      <c r="D59" s="15"/>
      <c r="E59" s="15"/>
      <c r="F59" s="15"/>
      <c r="G59" s="15"/>
      <c r="H59" s="39"/>
      <c r="I59" s="3" t="s">
        <v>66</v>
      </c>
      <c r="J59" s="39"/>
      <c r="K59" s="66"/>
      <c r="L59" s="67"/>
      <c r="M59" s="67"/>
    </row>
  </sheetData>
  <mergeCells count="2">
    <mergeCell ref="A2:M2"/>
    <mergeCell ref="A54:M5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G40"/>
  <sheetViews>
    <sheetView topLeftCell="A16" workbookViewId="0">
      <selection activeCell="I15" sqref="I15"/>
    </sheetView>
  </sheetViews>
  <sheetFormatPr defaultRowHeight="15" x14ac:dyDescent="0.25"/>
  <cols>
    <col min="2" max="2" width="44.140625" bestFit="1" customWidth="1"/>
    <col min="4" max="4" width="15.7109375" bestFit="1" customWidth="1"/>
    <col min="6" max="6" width="15.7109375" bestFit="1" customWidth="1"/>
  </cols>
  <sheetData>
    <row r="1" spans="1:7" ht="18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s="2" t="s">
        <v>1</v>
      </c>
      <c r="B2" s="2"/>
      <c r="C2" s="2"/>
      <c r="D2" s="2"/>
      <c r="E2" s="2"/>
      <c r="F2" s="2"/>
      <c r="G2" s="2"/>
    </row>
    <row r="3" spans="1:7" x14ac:dyDescent="0.25">
      <c r="A3" s="31"/>
      <c r="B3" s="15"/>
      <c r="C3" s="15"/>
      <c r="D3" s="16"/>
      <c r="E3" s="16"/>
      <c r="F3" s="16"/>
      <c r="G3" s="16"/>
    </row>
    <row r="4" spans="1:7" ht="15.75" x14ac:dyDescent="0.25">
      <c r="A4" s="4" t="s">
        <v>198</v>
      </c>
      <c r="B4" s="4"/>
      <c r="C4" s="4"/>
      <c r="D4" s="4"/>
      <c r="E4" s="4"/>
      <c r="F4" s="4"/>
      <c r="G4" s="4"/>
    </row>
    <row r="5" spans="1:7" ht="15.75" x14ac:dyDescent="0.25">
      <c r="A5" s="4" t="s">
        <v>141</v>
      </c>
      <c r="B5" s="4"/>
      <c r="C5" s="4"/>
      <c r="D5" s="4"/>
      <c r="E5" s="4"/>
      <c r="F5" s="4"/>
      <c r="G5" s="4"/>
    </row>
    <row r="6" spans="1:7" x14ac:dyDescent="0.25">
      <c r="A6" s="31"/>
      <c r="B6" s="15"/>
      <c r="C6" s="15"/>
      <c r="D6" s="16"/>
      <c r="E6" s="16"/>
      <c r="F6" s="16"/>
      <c r="G6" s="16"/>
    </row>
    <row r="7" spans="1:7" x14ac:dyDescent="0.25">
      <c r="A7" s="9" t="s">
        <v>199</v>
      </c>
      <c r="B7" s="9"/>
      <c r="C7" s="9"/>
      <c r="D7" s="7">
        <v>43830</v>
      </c>
      <c r="E7" s="68" t="s">
        <v>4</v>
      </c>
      <c r="F7" s="7">
        <v>43465</v>
      </c>
      <c r="G7" s="68" t="s">
        <v>4</v>
      </c>
    </row>
    <row r="8" spans="1:7" x14ac:dyDescent="0.25">
      <c r="A8" s="31"/>
      <c r="B8" s="31" t="s">
        <v>200</v>
      </c>
      <c r="C8" s="31"/>
      <c r="D8" s="30">
        <f>'[3]balanço e dre '!F186</f>
        <v>41256435.559999995</v>
      </c>
      <c r="E8" s="69">
        <f>D8/D12*100</f>
        <v>87.33023741017773</v>
      </c>
      <c r="F8" s="30">
        <v>38756877.619999997</v>
      </c>
      <c r="G8" s="69">
        <v>90.259698398770155</v>
      </c>
    </row>
    <row r="9" spans="1:7" x14ac:dyDescent="0.25">
      <c r="A9" s="31"/>
      <c r="B9" s="31" t="s">
        <v>201</v>
      </c>
      <c r="C9" s="31"/>
      <c r="D9" s="30">
        <f>'[3]balanço e dre '!F221</f>
        <v>308227.39</v>
      </c>
      <c r="E9" s="69">
        <f>D9/D12*100</f>
        <v>0.65244538893508441</v>
      </c>
      <c r="F9" s="30">
        <v>108889.58</v>
      </c>
      <c r="G9" s="69">
        <v>0.25358958856110125</v>
      </c>
    </row>
    <row r="10" spans="1:7" x14ac:dyDescent="0.25">
      <c r="A10" s="31"/>
      <c r="B10" s="31" t="s">
        <v>202</v>
      </c>
      <c r="C10" s="31"/>
      <c r="D10" s="30">
        <f>'[3]balanço e dre '!F207</f>
        <v>5677205.1399999997</v>
      </c>
      <c r="E10" s="69">
        <f>D10/D12*100</f>
        <v>12.017317200887176</v>
      </c>
      <c r="F10" s="30">
        <v>4073527.2</v>
      </c>
      <c r="G10" s="69">
        <v>9.4867120126687503</v>
      </c>
    </row>
    <row r="11" spans="1:7" x14ac:dyDescent="0.25">
      <c r="A11" s="31"/>
      <c r="B11" s="31"/>
      <c r="C11" s="31"/>
      <c r="D11" s="30"/>
      <c r="E11" s="69"/>
      <c r="F11" s="30"/>
      <c r="G11" s="69"/>
    </row>
    <row r="12" spans="1:7" x14ac:dyDescent="0.25">
      <c r="A12" s="9" t="s">
        <v>203</v>
      </c>
      <c r="B12" s="9"/>
      <c r="C12" s="9"/>
      <c r="D12" s="29">
        <f>SUM(D8:D11)</f>
        <v>47241868.089999996</v>
      </c>
      <c r="E12" s="36">
        <f>D12/D12*100</f>
        <v>100</v>
      </c>
      <c r="F12" s="29">
        <v>42939294.399999999</v>
      </c>
      <c r="G12" s="36">
        <v>100</v>
      </c>
    </row>
    <row r="13" spans="1:7" x14ac:dyDescent="0.25">
      <c r="A13" s="31"/>
      <c r="B13" s="31"/>
      <c r="C13" s="31"/>
      <c r="D13" s="30"/>
      <c r="E13" s="69"/>
      <c r="F13" s="30"/>
      <c r="G13" s="69"/>
    </row>
    <row r="14" spans="1:7" x14ac:dyDescent="0.25">
      <c r="A14" s="9" t="s">
        <v>204</v>
      </c>
      <c r="B14" s="9"/>
      <c r="C14" s="9"/>
      <c r="D14" s="29"/>
      <c r="E14" s="36"/>
      <c r="F14" s="29"/>
      <c r="G14" s="36"/>
    </row>
    <row r="15" spans="1:7" x14ac:dyDescent="0.25">
      <c r="A15" s="31"/>
      <c r="B15" s="31" t="s">
        <v>205</v>
      </c>
      <c r="C15" s="31"/>
      <c r="D15" s="30">
        <f>'[3]balanço e dre '!F194+'[3]balanço e dre '!F195</f>
        <v>9700588.5500000007</v>
      </c>
      <c r="E15" s="69">
        <f>D15/D20*100</f>
        <v>36.324699101510063</v>
      </c>
      <c r="F15" s="30">
        <v>8760076.0999999996</v>
      </c>
      <c r="G15" s="69">
        <v>34.548311527604632</v>
      </c>
    </row>
    <row r="16" spans="1:7" x14ac:dyDescent="0.25">
      <c r="A16" s="31"/>
      <c r="B16" s="31" t="s">
        <v>206</v>
      </c>
      <c r="C16" s="31"/>
      <c r="D16" s="30">
        <f>'[3]balanço e dre '!F191</f>
        <v>14074004.050000001</v>
      </c>
      <c r="E16" s="69">
        <f>D16/D$20*100</f>
        <v>52.701334525695756</v>
      </c>
      <c r="F16" s="30">
        <v>13719986.07</v>
      </c>
      <c r="G16" s="69">
        <v>54.1093875772102</v>
      </c>
    </row>
    <row r="17" spans="1:7" x14ac:dyDescent="0.25">
      <c r="A17" s="31"/>
      <c r="B17" s="31" t="s">
        <v>207</v>
      </c>
      <c r="C17" s="31"/>
      <c r="D17" s="30">
        <f>'[3]balanço e dre '!F196+'[3]balanço e dre '!F197-D26</f>
        <v>2895940.54</v>
      </c>
      <c r="E17" s="69">
        <f>D17/D$20*100</f>
        <v>10.844101694362095</v>
      </c>
      <c r="F17" s="30">
        <v>2738500.93</v>
      </c>
      <c r="G17" s="69">
        <v>10.800201067691068</v>
      </c>
    </row>
    <row r="18" spans="1:7" x14ac:dyDescent="0.25">
      <c r="A18" s="31"/>
      <c r="B18" s="31" t="s">
        <v>208</v>
      </c>
      <c r="C18" s="31"/>
      <c r="D18" s="30">
        <f>'[3]balanço e dre '!F216</f>
        <v>34680.639999999999</v>
      </c>
      <c r="E18" s="69">
        <f>D18/D$20*100</f>
        <v>0.12986467843209304</v>
      </c>
      <c r="F18" s="30">
        <v>137454.93</v>
      </c>
      <c r="G18" s="69">
        <v>0.54209982749408847</v>
      </c>
    </row>
    <row r="19" spans="1:7" x14ac:dyDescent="0.25">
      <c r="A19" s="31"/>
      <c r="B19" s="31"/>
      <c r="C19" s="31"/>
      <c r="D19" s="30"/>
      <c r="E19" s="69"/>
      <c r="F19" s="30"/>
      <c r="G19" s="69"/>
    </row>
    <row r="20" spans="1:7" x14ac:dyDescent="0.25">
      <c r="A20" s="9" t="s">
        <v>209</v>
      </c>
      <c r="B20" s="9"/>
      <c r="C20" s="9"/>
      <c r="D20" s="29">
        <f>SUM(D15:D18)</f>
        <v>26705213.780000001</v>
      </c>
      <c r="E20" s="36">
        <f>D20/D20*100</f>
        <v>100</v>
      </c>
      <c r="F20" s="29">
        <v>25356018.030000001</v>
      </c>
      <c r="G20" s="36">
        <v>100</v>
      </c>
    </row>
    <row r="21" spans="1:7" x14ac:dyDescent="0.25">
      <c r="A21" s="31"/>
      <c r="B21" s="31"/>
      <c r="C21" s="31"/>
      <c r="D21" s="30"/>
      <c r="E21" s="69"/>
      <c r="F21" s="30"/>
      <c r="G21" s="69"/>
    </row>
    <row r="22" spans="1:7" x14ac:dyDescent="0.25">
      <c r="A22" s="9" t="s">
        <v>210</v>
      </c>
      <c r="B22" s="9"/>
      <c r="C22" s="9"/>
      <c r="D22" s="29">
        <f>D12-D20</f>
        <v>20536654.309999995</v>
      </c>
      <c r="E22" s="36"/>
      <c r="F22" s="29">
        <v>17583276.369999997</v>
      </c>
      <c r="G22" s="36"/>
    </row>
    <row r="23" spans="1:7" x14ac:dyDescent="0.25">
      <c r="A23" s="31"/>
      <c r="B23" s="31"/>
      <c r="C23" s="31"/>
      <c r="D23" s="30"/>
      <c r="E23" s="69"/>
      <c r="F23" s="30"/>
      <c r="G23" s="69"/>
    </row>
    <row r="24" spans="1:7" x14ac:dyDescent="0.25">
      <c r="A24" s="9" t="s">
        <v>211</v>
      </c>
      <c r="B24" s="9"/>
      <c r="C24" s="9"/>
      <c r="D24" s="9"/>
      <c r="E24" s="9"/>
      <c r="F24" s="9"/>
      <c r="G24" s="9"/>
    </row>
    <row r="25" spans="1:7" x14ac:dyDescent="0.25">
      <c r="A25" s="31"/>
      <c r="B25" s="31" t="s">
        <v>212</v>
      </c>
      <c r="C25" s="31"/>
      <c r="D25" s="30">
        <f>'[3]balanço e dre '!F188</f>
        <v>16494885.550000001</v>
      </c>
      <c r="E25" s="69">
        <f>D25/D12*100</f>
        <v>34.915819837132105</v>
      </c>
      <c r="F25" s="30">
        <v>15750391</v>
      </c>
      <c r="G25" s="69">
        <v>36.680600415269048</v>
      </c>
    </row>
    <row r="26" spans="1:7" x14ac:dyDescent="0.25">
      <c r="A26" s="31"/>
      <c r="B26" s="31" t="s">
        <v>213</v>
      </c>
      <c r="C26" s="31"/>
      <c r="D26" s="30">
        <f>'[3]balanço e dre '!F203</f>
        <v>13892.74</v>
      </c>
      <c r="E26" s="69">
        <f>D26/D12*100</f>
        <v>2.9407685516442923E-2</v>
      </c>
      <c r="F26" s="30">
        <v>21275.200000000001</v>
      </c>
      <c r="G26" s="69">
        <v>4.9547157905789903E-2</v>
      </c>
    </row>
    <row r="27" spans="1:7" x14ac:dyDescent="0.25">
      <c r="A27" s="31"/>
      <c r="B27" s="31" t="s">
        <v>214</v>
      </c>
      <c r="C27" s="31"/>
      <c r="D27" s="30">
        <f>'[3]balanço e dre '!F219</f>
        <v>3240084.43</v>
      </c>
      <c r="E27" s="69">
        <f>D27/D12*100</f>
        <v>6.8585019200073729</v>
      </c>
      <c r="F27" s="30">
        <v>2469766.2599999998</v>
      </c>
      <c r="G27" s="69">
        <v>5.7517625627308862</v>
      </c>
    </row>
    <row r="28" spans="1:7" x14ac:dyDescent="0.25">
      <c r="A28" s="31"/>
      <c r="B28" s="31" t="s">
        <v>215</v>
      </c>
      <c r="C28" s="31"/>
      <c r="D28" s="30">
        <f>'[3]balanço e dre '!F222</f>
        <v>787791.58999999519</v>
      </c>
      <c r="E28" s="69">
        <f>D28/D12*100</f>
        <v>1.6675707838207869</v>
      </c>
      <c r="F28" s="30">
        <v>-658156.09000000672</v>
      </c>
      <c r="G28" s="69">
        <v>-1.5327594437602281</v>
      </c>
    </row>
    <row r="29" spans="1:7" x14ac:dyDescent="0.25">
      <c r="A29" s="31"/>
      <c r="B29" s="31"/>
      <c r="C29" s="31"/>
      <c r="D29" s="30"/>
      <c r="E29" s="30"/>
      <c r="F29" s="30"/>
      <c r="G29" s="30"/>
    </row>
    <row r="30" spans="1:7" x14ac:dyDescent="0.25">
      <c r="A30" s="9" t="s">
        <v>216</v>
      </c>
      <c r="B30" s="31"/>
      <c r="C30" s="31"/>
      <c r="D30" s="29">
        <f>SUM(D25:D28)</f>
        <v>20536654.309999999</v>
      </c>
      <c r="E30" s="36">
        <f>D30/D12*100</f>
        <v>43.471300226476714</v>
      </c>
      <c r="F30" s="29">
        <v>17583276.369999994</v>
      </c>
      <c r="G30" s="36">
        <v>40.949150692145501</v>
      </c>
    </row>
    <row r="31" spans="1:7" x14ac:dyDescent="0.25">
      <c r="A31" s="31"/>
      <c r="B31" s="31"/>
      <c r="C31" s="31"/>
      <c r="D31" s="30"/>
      <c r="E31" s="30"/>
      <c r="F31" s="30"/>
      <c r="G31" s="30"/>
    </row>
    <row r="32" spans="1:7" x14ac:dyDescent="0.25">
      <c r="A32" s="31"/>
      <c r="B32" s="31"/>
      <c r="C32" s="31"/>
      <c r="D32" s="30"/>
      <c r="E32" s="30"/>
      <c r="F32" s="30"/>
      <c r="G32" s="30"/>
    </row>
    <row r="33" spans="1:7" x14ac:dyDescent="0.25">
      <c r="A33" s="31"/>
      <c r="B33" s="31"/>
      <c r="C33" s="31"/>
      <c r="D33" s="30"/>
      <c r="E33" s="30"/>
      <c r="F33" s="30"/>
      <c r="G33" s="30"/>
    </row>
    <row r="34" spans="1:7" x14ac:dyDescent="0.25">
      <c r="A34" s="2" t="s">
        <v>60</v>
      </c>
      <c r="B34" s="2"/>
      <c r="C34" s="2"/>
      <c r="D34" s="2"/>
      <c r="E34" s="2"/>
      <c r="F34" s="2"/>
      <c r="G34" s="2"/>
    </row>
    <row r="35" spans="1:7" x14ac:dyDescent="0.25">
      <c r="A35" s="31"/>
      <c r="B35" s="31"/>
      <c r="C35" s="31"/>
      <c r="D35" s="31"/>
      <c r="E35" s="31"/>
      <c r="F35" s="31"/>
      <c r="G35" s="31"/>
    </row>
    <row r="36" spans="1:7" x14ac:dyDescent="0.25">
      <c r="A36" s="31"/>
      <c r="B36" s="31"/>
      <c r="C36" s="31"/>
      <c r="D36" s="31"/>
      <c r="E36" s="31"/>
      <c r="F36" s="31"/>
      <c r="G36" s="31"/>
    </row>
    <row r="37" spans="1:7" x14ac:dyDescent="0.25">
      <c r="A37" s="31"/>
      <c r="B37" s="3" t="s">
        <v>61</v>
      </c>
      <c r="C37" s="3"/>
      <c r="D37" s="15"/>
      <c r="E37" s="25" t="s">
        <v>62</v>
      </c>
      <c r="F37" s="25"/>
      <c r="G37" s="31"/>
    </row>
    <row r="38" spans="1:7" x14ac:dyDescent="0.25">
      <c r="A38" s="31"/>
      <c r="B38" s="3" t="s">
        <v>63</v>
      </c>
      <c r="C38" s="3"/>
      <c r="D38" s="15"/>
      <c r="E38" s="25" t="s">
        <v>64</v>
      </c>
      <c r="F38" s="25"/>
      <c r="G38" s="31"/>
    </row>
    <row r="39" spans="1:7" x14ac:dyDescent="0.25">
      <c r="A39" s="31"/>
      <c r="B39" s="28" t="s">
        <v>65</v>
      </c>
      <c r="C39" s="28"/>
      <c r="D39" s="15"/>
      <c r="E39" s="25" t="s">
        <v>66</v>
      </c>
      <c r="F39" s="25"/>
      <c r="G39" s="31"/>
    </row>
    <row r="40" spans="1:7" x14ac:dyDescent="0.25">
      <c r="A40" s="31"/>
      <c r="B40" s="31"/>
      <c r="C40" s="31"/>
      <c r="D40" s="31"/>
      <c r="E40" s="31"/>
      <c r="F40" s="31"/>
      <c r="G40" s="31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E25"/>
  <sheetViews>
    <sheetView workbookViewId="0">
      <selection activeCell="E29" sqref="E29"/>
    </sheetView>
  </sheetViews>
  <sheetFormatPr defaultRowHeight="15" x14ac:dyDescent="0.25"/>
  <cols>
    <col min="1" max="1" width="32.140625" bestFit="1" customWidth="1"/>
    <col min="2" max="2" width="14.85546875" bestFit="1" customWidth="1"/>
    <col min="3" max="3" width="16.7109375" bestFit="1" customWidth="1"/>
    <col min="4" max="4" width="22.42578125" bestFit="1" customWidth="1"/>
    <col min="5" max="5" width="14.5703125" bestFit="1" customWidth="1"/>
  </cols>
  <sheetData>
    <row r="1" spans="1:5" ht="18" x14ac:dyDescent="0.25">
      <c r="A1" s="1" t="s">
        <v>0</v>
      </c>
      <c r="B1" s="1"/>
      <c r="C1" s="1"/>
      <c r="D1" s="1"/>
      <c r="E1" s="1"/>
    </row>
    <row r="2" spans="1:5" x14ac:dyDescent="0.25">
      <c r="A2" s="2" t="s">
        <v>1</v>
      </c>
      <c r="B2" s="2"/>
      <c r="C2" s="2"/>
      <c r="D2" s="2"/>
      <c r="E2" s="2"/>
    </row>
    <row r="3" spans="1:5" x14ac:dyDescent="0.25">
      <c r="A3" s="15"/>
      <c r="B3" s="15"/>
      <c r="C3" s="15"/>
      <c r="D3" s="15"/>
      <c r="E3" s="15"/>
    </row>
    <row r="4" spans="1:5" ht="15.75" x14ac:dyDescent="0.25">
      <c r="A4" s="4" t="s">
        <v>217</v>
      </c>
      <c r="B4" s="4"/>
      <c r="C4" s="4"/>
      <c r="D4" s="4"/>
      <c r="E4" s="4"/>
    </row>
    <row r="5" spans="1:5" x14ac:dyDescent="0.25">
      <c r="A5" s="15"/>
      <c r="B5" s="15"/>
      <c r="C5" s="15"/>
      <c r="D5" s="15"/>
      <c r="E5" s="15"/>
    </row>
    <row r="6" spans="1:5" ht="15.75" thickBot="1" x14ac:dyDescent="0.3">
      <c r="A6" s="15"/>
      <c r="B6" s="15"/>
      <c r="C6" s="15"/>
      <c r="D6" s="15"/>
      <c r="E6" s="15"/>
    </row>
    <row r="7" spans="1:5" x14ac:dyDescent="0.25">
      <c r="A7" s="70" t="s">
        <v>218</v>
      </c>
      <c r="B7" s="70" t="s">
        <v>219</v>
      </c>
      <c r="C7" s="70" t="s">
        <v>220</v>
      </c>
      <c r="D7" s="70" t="s">
        <v>221</v>
      </c>
      <c r="E7" s="70" t="s">
        <v>222</v>
      </c>
    </row>
    <row r="8" spans="1:5" ht="15.75" thickBot="1" x14ac:dyDescent="0.3">
      <c r="A8" s="71"/>
      <c r="B8" s="72" t="s">
        <v>223</v>
      </c>
      <c r="C8" s="72" t="s">
        <v>224</v>
      </c>
      <c r="D8" s="72" t="s">
        <v>225</v>
      </c>
      <c r="E8" s="72"/>
    </row>
    <row r="9" spans="1:5" x14ac:dyDescent="0.25">
      <c r="A9" s="73" t="s">
        <v>226</v>
      </c>
      <c r="B9" s="74">
        <f>'[3]balanço e dre '!H106</f>
        <v>1964874.45</v>
      </c>
      <c r="C9" s="74">
        <v>0</v>
      </c>
      <c r="D9" s="74">
        <f>'[3]balanço e dre '!H107</f>
        <v>-658156.09000000707</v>
      </c>
      <c r="E9" s="75">
        <f>SUM(B9:D9)</f>
        <v>1306718.3599999929</v>
      </c>
    </row>
    <row r="10" spans="1:5" x14ac:dyDescent="0.25">
      <c r="A10" s="76" t="s">
        <v>227</v>
      </c>
      <c r="B10" s="77">
        <v>0</v>
      </c>
      <c r="C10" s="77">
        <v>0</v>
      </c>
      <c r="D10" s="77">
        <f>'[3]demonst de origens e recursos'!G11</f>
        <v>63339.78</v>
      </c>
      <c r="E10" s="78"/>
    </row>
    <row r="11" spans="1:5" x14ac:dyDescent="0.25">
      <c r="A11" s="76" t="s">
        <v>228</v>
      </c>
      <c r="B11" s="77">
        <v>0</v>
      </c>
      <c r="C11" s="77">
        <v>0</v>
      </c>
      <c r="D11" s="77">
        <f>'[3]balanço e dre '!F222</f>
        <v>787791.58999999519</v>
      </c>
      <c r="E11" s="78"/>
    </row>
    <row r="12" spans="1:5" x14ac:dyDescent="0.25">
      <c r="A12" s="76"/>
      <c r="B12" s="77"/>
      <c r="C12" s="77"/>
      <c r="D12" s="77"/>
      <c r="E12" s="78"/>
    </row>
    <row r="13" spans="1:5" x14ac:dyDescent="0.25">
      <c r="A13" s="79" t="s">
        <v>229</v>
      </c>
      <c r="B13" s="80">
        <f>B9+C9</f>
        <v>1964874.45</v>
      </c>
      <c r="C13" s="80">
        <v>0</v>
      </c>
      <c r="D13" s="80">
        <f>D9+D11+D10</f>
        <v>192975.27999998812</v>
      </c>
      <c r="E13" s="81">
        <f>SUM(B13:D13)</f>
        <v>2157849.7299999879</v>
      </c>
    </row>
    <row r="14" spans="1:5" ht="15.75" thickBot="1" x14ac:dyDescent="0.3">
      <c r="A14" s="82"/>
      <c r="B14" s="83"/>
      <c r="C14" s="83"/>
      <c r="D14" s="83"/>
      <c r="E14" s="84"/>
    </row>
    <row r="15" spans="1:5" x14ac:dyDescent="0.25">
      <c r="A15" s="31"/>
      <c r="B15" s="31"/>
      <c r="C15" s="31"/>
      <c r="D15" s="31"/>
      <c r="E15" s="31"/>
    </row>
    <row r="16" spans="1:5" x14ac:dyDescent="0.25">
      <c r="A16" s="31"/>
      <c r="B16" s="31"/>
      <c r="C16" s="31"/>
      <c r="D16" s="31"/>
      <c r="E16" s="38"/>
    </row>
    <row r="17" spans="1:5" x14ac:dyDescent="0.25">
      <c r="A17" s="31"/>
      <c r="B17" s="31"/>
      <c r="C17" s="31"/>
      <c r="D17" s="38"/>
      <c r="E17" s="38"/>
    </row>
    <row r="18" spans="1:5" x14ac:dyDescent="0.25">
      <c r="A18" s="31"/>
      <c r="B18" s="31"/>
      <c r="C18" s="31"/>
      <c r="D18" s="31"/>
      <c r="E18" s="38"/>
    </row>
    <row r="19" spans="1:5" x14ac:dyDescent="0.25">
      <c r="A19" s="2" t="s">
        <v>60</v>
      </c>
      <c r="B19" s="2"/>
      <c r="C19" s="2"/>
      <c r="D19" s="2"/>
      <c r="E19" s="2"/>
    </row>
    <row r="20" spans="1:5" x14ac:dyDescent="0.25">
      <c r="A20" s="31"/>
      <c r="B20" s="31"/>
      <c r="C20" s="31"/>
      <c r="D20" s="31"/>
      <c r="E20" s="31"/>
    </row>
    <row r="21" spans="1:5" x14ac:dyDescent="0.25">
      <c r="A21" s="31"/>
      <c r="B21" s="31"/>
      <c r="C21" s="31"/>
      <c r="D21" s="31"/>
      <c r="E21" s="31"/>
    </row>
    <row r="22" spans="1:5" x14ac:dyDescent="0.25">
      <c r="A22" s="3" t="s">
        <v>230</v>
      </c>
      <c r="B22" s="3"/>
      <c r="C22" s="15"/>
      <c r="D22" s="25" t="s">
        <v>62</v>
      </c>
      <c r="E22" s="25"/>
    </row>
    <row r="23" spans="1:5" x14ac:dyDescent="0.25">
      <c r="A23" s="3" t="s">
        <v>231</v>
      </c>
      <c r="B23" s="3"/>
      <c r="C23" s="15"/>
      <c r="D23" s="25" t="s">
        <v>64</v>
      </c>
      <c r="E23" s="25"/>
    </row>
    <row r="24" spans="1:5" x14ac:dyDescent="0.25">
      <c r="A24" s="28" t="s">
        <v>65</v>
      </c>
      <c r="B24" s="28"/>
      <c r="C24" s="15"/>
      <c r="D24" s="25" t="s">
        <v>66</v>
      </c>
      <c r="E24" s="25"/>
    </row>
    <row r="25" spans="1:5" x14ac:dyDescent="0.25">
      <c r="A25" s="15"/>
      <c r="B25" s="15"/>
      <c r="C25" s="15"/>
      <c r="D25" s="15"/>
      <c r="E25" s="15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2026-03-30T20:13:33Z</dcterms:modified>
</cp:coreProperties>
</file>