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dor\Desktop\SITE\BAÇANCOS\"/>
    </mc:Choice>
  </mc:AlternateContent>
  <xr:revisionPtr revIDLastSave="0" documentId="13_ncr:1_{6279F787-4A46-43C8-AEEC-4581D2E37BC4}" xr6:coauthVersionLast="47" xr6:coauthVersionMax="47" xr10:uidLastSave="{00000000-0000-0000-0000-000000000000}"/>
  <bookViews>
    <workbookView xWindow="-120" yWindow="-120" windowWidth="29040" windowHeight="15720" xr2:uid="{9B5AB575-3DFE-490C-A454-579F187D9392}"/>
  </bookViews>
  <sheets>
    <sheet name="Balanço e DRE" sheetId="1" r:id="rId1"/>
    <sheet name="Demonstrativo Origens e Recurso" sheetId="2" r:id="rId2"/>
    <sheet name="Fluxo de Caixa" sheetId="3" r:id="rId3"/>
    <sheet name="Valor Adicionado" sheetId="4" r:id="rId4"/>
    <sheet name="Demons. Mutações do PL" sheetId="5" r:id="rId5"/>
  </sheets>
  <externalReferences>
    <externalReference r:id="rId6"/>
    <externalReference r:id="rId7"/>
    <externalReference r:id="rId8"/>
    <externalReference r:id="rId9"/>
    <externalReference r:id="rId10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4" i="3" l="1"/>
  <c r="M49" i="3"/>
  <c r="L49" i="3"/>
  <c r="K49" i="3"/>
  <c r="J49" i="3"/>
  <c r="I49" i="3"/>
  <c r="H49" i="3"/>
  <c r="G49" i="3"/>
  <c r="F49" i="3"/>
  <c r="E49" i="3"/>
  <c r="D49" i="3"/>
  <c r="C49" i="3"/>
  <c r="B49" i="3"/>
  <c r="M44" i="3"/>
  <c r="L44" i="3"/>
  <c r="K44" i="3"/>
  <c r="J44" i="3"/>
  <c r="J41" i="3" s="1"/>
  <c r="J45" i="3" s="1"/>
  <c r="I44" i="3"/>
  <c r="H44" i="3"/>
  <c r="H41" i="3" s="1"/>
  <c r="G44" i="3"/>
  <c r="G41" i="3" s="1"/>
  <c r="G45" i="3" s="1"/>
  <c r="F44" i="3"/>
  <c r="F41" i="3" s="1"/>
  <c r="F45" i="3" s="1"/>
  <c r="E44" i="3"/>
  <c r="D44" i="3"/>
  <c r="D41" i="3" s="1"/>
  <c r="D45" i="3" s="1"/>
  <c r="C44" i="3"/>
  <c r="M43" i="3"/>
  <c r="L43" i="3"/>
  <c r="K43" i="3"/>
  <c r="J43" i="3"/>
  <c r="I43" i="3"/>
  <c r="H43" i="3"/>
  <c r="G43" i="3"/>
  <c r="F43" i="3"/>
  <c r="E43" i="3"/>
  <c r="D43" i="3"/>
  <c r="C43" i="3"/>
  <c r="B43" i="3"/>
  <c r="M42" i="3"/>
  <c r="L42" i="3"/>
  <c r="K42" i="3"/>
  <c r="J42" i="3"/>
  <c r="I42" i="3"/>
  <c r="H42" i="3"/>
  <c r="G42" i="3"/>
  <c r="F42" i="3"/>
  <c r="E42" i="3"/>
  <c r="D42" i="3"/>
  <c r="C42" i="3"/>
  <c r="C41" i="3" s="1"/>
  <c r="B42" i="3"/>
  <c r="M41" i="3"/>
  <c r="L41" i="3"/>
  <c r="K41" i="3"/>
  <c r="I41" i="3"/>
  <c r="E41" i="3"/>
  <c r="B41" i="3"/>
  <c r="M38" i="3"/>
  <c r="M45" i="3" s="1"/>
  <c r="L38" i="3"/>
  <c r="L45" i="3" s="1"/>
  <c r="K38" i="3"/>
  <c r="K45" i="3" s="1"/>
  <c r="J38" i="3"/>
  <c r="I38" i="3"/>
  <c r="I45" i="3" s="1"/>
  <c r="H38" i="3"/>
  <c r="H45" i="3" s="1"/>
  <c r="G38" i="3"/>
  <c r="F38" i="3"/>
  <c r="E38" i="3"/>
  <c r="E45" i="3" s="1"/>
  <c r="D38" i="3"/>
  <c r="C38" i="3"/>
  <c r="B38" i="3"/>
  <c r="B45" i="3" s="1"/>
  <c r="M33" i="3"/>
  <c r="L33" i="3"/>
  <c r="K33" i="3"/>
  <c r="J33" i="3"/>
  <c r="I33" i="3"/>
  <c r="H33" i="3"/>
  <c r="G33" i="3"/>
  <c r="F33" i="3"/>
  <c r="E33" i="3"/>
  <c r="D33" i="3"/>
  <c r="C33" i="3"/>
  <c r="C31" i="3" s="1"/>
  <c r="B33" i="3"/>
  <c r="M32" i="3"/>
  <c r="L32" i="3"/>
  <c r="K32" i="3"/>
  <c r="J32" i="3"/>
  <c r="I32" i="3"/>
  <c r="H32" i="3"/>
  <c r="G32" i="3"/>
  <c r="F32" i="3"/>
  <c r="E32" i="3"/>
  <c r="D32" i="3"/>
  <c r="C32" i="3"/>
  <c r="B32" i="3"/>
  <c r="M31" i="3"/>
  <c r="L31" i="3"/>
  <c r="K31" i="3"/>
  <c r="J31" i="3"/>
  <c r="I31" i="3"/>
  <c r="H31" i="3"/>
  <c r="G31" i="3"/>
  <c r="F31" i="3"/>
  <c r="E31" i="3"/>
  <c r="D31" i="3"/>
  <c r="B31" i="3"/>
  <c r="M30" i="3"/>
  <c r="L30" i="3"/>
  <c r="K30" i="3"/>
  <c r="J30" i="3"/>
  <c r="I30" i="3"/>
  <c r="H30" i="3"/>
  <c r="G30" i="3"/>
  <c r="F30" i="3"/>
  <c r="E30" i="3"/>
  <c r="D30" i="3"/>
  <c r="C30" i="3"/>
  <c r="C28" i="3" s="1"/>
  <c r="B30" i="3"/>
  <c r="M28" i="3"/>
  <c r="M34" i="3" s="1"/>
  <c r="L28" i="3"/>
  <c r="L34" i="3" s="1"/>
  <c r="K28" i="3"/>
  <c r="K34" i="3" s="1"/>
  <c r="J28" i="3"/>
  <c r="J34" i="3" s="1"/>
  <c r="I28" i="3"/>
  <c r="I34" i="3" s="1"/>
  <c r="H28" i="3"/>
  <c r="H34" i="3" s="1"/>
  <c r="G28" i="3"/>
  <c r="G34" i="3" s="1"/>
  <c r="F28" i="3"/>
  <c r="F34" i="3" s="1"/>
  <c r="E28" i="3"/>
  <c r="E34" i="3" s="1"/>
  <c r="D28" i="3"/>
  <c r="D34" i="3" s="1"/>
  <c r="B28" i="3"/>
  <c r="B34" i="3" s="1"/>
  <c r="M23" i="3"/>
  <c r="L23" i="3"/>
  <c r="K23" i="3"/>
  <c r="J23" i="3"/>
  <c r="I23" i="3"/>
  <c r="H23" i="3"/>
  <c r="G23" i="3"/>
  <c r="F23" i="3"/>
  <c r="E23" i="3"/>
  <c r="D23" i="3"/>
  <c r="C23" i="3"/>
  <c r="C22" i="3" s="1"/>
  <c r="B23" i="3"/>
  <c r="M22" i="3"/>
  <c r="L22" i="3"/>
  <c r="K22" i="3"/>
  <c r="J22" i="3"/>
  <c r="I22" i="3"/>
  <c r="H22" i="3"/>
  <c r="G22" i="3"/>
  <c r="F22" i="3"/>
  <c r="E22" i="3"/>
  <c r="D22" i="3"/>
  <c r="B22" i="3"/>
  <c r="M21" i="3"/>
  <c r="L21" i="3"/>
  <c r="K21" i="3"/>
  <c r="J21" i="3"/>
  <c r="I21" i="3"/>
  <c r="H21" i="3"/>
  <c r="G21" i="3"/>
  <c r="F21" i="3"/>
  <c r="E21" i="3"/>
  <c r="D21" i="3"/>
  <c r="C21" i="3"/>
  <c r="C20" i="3" s="1"/>
  <c r="B21" i="3"/>
  <c r="M20" i="3"/>
  <c r="M24" i="3" s="1"/>
  <c r="L20" i="3"/>
  <c r="L24" i="3" s="1"/>
  <c r="K20" i="3"/>
  <c r="K24" i="3" s="1"/>
  <c r="J20" i="3"/>
  <c r="J24" i="3" s="1"/>
  <c r="I20" i="3"/>
  <c r="I24" i="3" s="1"/>
  <c r="H20" i="3"/>
  <c r="H24" i="3" s="1"/>
  <c r="G20" i="3"/>
  <c r="G24" i="3" s="1"/>
  <c r="F20" i="3"/>
  <c r="F24" i="3" s="1"/>
  <c r="E20" i="3"/>
  <c r="E24" i="3" s="1"/>
  <c r="D20" i="3"/>
  <c r="D24" i="3" s="1"/>
  <c r="B20" i="3"/>
  <c r="B24" i="3" s="1"/>
  <c r="M15" i="3"/>
  <c r="L15" i="3"/>
  <c r="K15" i="3"/>
  <c r="J15" i="3"/>
  <c r="I15" i="3"/>
  <c r="H15" i="3"/>
  <c r="G15" i="3"/>
  <c r="F15" i="3"/>
  <c r="E15" i="3"/>
  <c r="D15" i="3"/>
  <c r="C15" i="3"/>
  <c r="B15" i="3"/>
  <c r="M14" i="3"/>
  <c r="L14" i="3"/>
  <c r="K14" i="3"/>
  <c r="J14" i="3"/>
  <c r="I14" i="3"/>
  <c r="H14" i="3"/>
  <c r="G14" i="3"/>
  <c r="F14" i="3"/>
  <c r="E14" i="3"/>
  <c r="D14" i="3"/>
  <c r="C14" i="3"/>
  <c r="B14" i="3"/>
  <c r="M13" i="3"/>
  <c r="L13" i="3"/>
  <c r="K13" i="3"/>
  <c r="J13" i="3"/>
  <c r="I13" i="3"/>
  <c r="H13" i="3"/>
  <c r="G13" i="3"/>
  <c r="F13" i="3"/>
  <c r="E13" i="3"/>
  <c r="D13" i="3"/>
  <c r="C13" i="3"/>
  <c r="B13" i="3"/>
  <c r="M12" i="3"/>
  <c r="L12" i="3"/>
  <c r="K12" i="3"/>
  <c r="J12" i="3"/>
  <c r="I12" i="3"/>
  <c r="H12" i="3"/>
  <c r="G12" i="3"/>
  <c r="F12" i="3"/>
  <c r="E12" i="3"/>
  <c r="D12" i="3"/>
  <c r="C12" i="3"/>
  <c r="B12" i="3"/>
  <c r="M11" i="3"/>
  <c r="L11" i="3"/>
  <c r="K11" i="3"/>
  <c r="J11" i="3"/>
  <c r="I11" i="3"/>
  <c r="H11" i="3"/>
  <c r="G11" i="3"/>
  <c r="F11" i="3"/>
  <c r="E11" i="3"/>
  <c r="D11" i="3"/>
  <c r="C11" i="3"/>
  <c r="C10" i="3" s="1"/>
  <c r="B11" i="3"/>
  <c r="M10" i="3"/>
  <c r="L10" i="3"/>
  <c r="K10" i="3"/>
  <c r="J10" i="3"/>
  <c r="I10" i="3"/>
  <c r="H10" i="3"/>
  <c r="G10" i="3"/>
  <c r="F10" i="3"/>
  <c r="E10" i="3"/>
  <c r="D10" i="3"/>
  <c r="B10" i="3"/>
  <c r="M9" i="3"/>
  <c r="L9" i="3"/>
  <c r="K9" i="3"/>
  <c r="J9" i="3"/>
  <c r="I9" i="3"/>
  <c r="H9" i="3"/>
  <c r="G9" i="3"/>
  <c r="F9" i="3"/>
  <c r="E9" i="3"/>
  <c r="D9" i="3"/>
  <c r="C9" i="3"/>
  <c r="B9" i="3"/>
  <c r="M8" i="3"/>
  <c r="L8" i="3"/>
  <c r="K8" i="3"/>
  <c r="J8" i="3"/>
  <c r="I8" i="3"/>
  <c r="H8" i="3"/>
  <c r="G8" i="3"/>
  <c r="F8" i="3"/>
  <c r="E8" i="3"/>
  <c r="D8" i="3"/>
  <c r="C8" i="3"/>
  <c r="C7" i="3" s="1"/>
  <c r="C16" i="3" s="1"/>
  <c r="B8" i="3"/>
  <c r="M7" i="3"/>
  <c r="M16" i="3" s="1"/>
  <c r="L7" i="3"/>
  <c r="L16" i="3" s="1"/>
  <c r="K7" i="3"/>
  <c r="K16" i="3" s="1"/>
  <c r="J7" i="3"/>
  <c r="J16" i="3" s="1"/>
  <c r="I7" i="3"/>
  <c r="I16" i="3" s="1"/>
  <c r="H7" i="3"/>
  <c r="H16" i="3" s="1"/>
  <c r="G7" i="3"/>
  <c r="G16" i="3" s="1"/>
  <c r="F7" i="3"/>
  <c r="F16" i="3" s="1"/>
  <c r="E7" i="3"/>
  <c r="E16" i="3" s="1"/>
  <c r="E47" i="3" s="1"/>
  <c r="E50" i="3" s="1"/>
  <c r="D7" i="3"/>
  <c r="D16" i="3" s="1"/>
  <c r="D47" i="3" s="1"/>
  <c r="D50" i="3" s="1"/>
  <c r="B7" i="3"/>
  <c r="B16" i="3" s="1"/>
  <c r="B47" i="3" s="1"/>
  <c r="B50" i="3" s="1"/>
  <c r="A19" i="5"/>
  <c r="D11" i="5"/>
  <c r="D10" i="5"/>
  <c r="D9" i="5"/>
  <c r="D13" i="5" s="1"/>
  <c r="B9" i="5"/>
  <c r="E9" i="5" s="1"/>
  <c r="A34" i="4"/>
  <c r="D28" i="4"/>
  <c r="E28" i="4" s="1"/>
  <c r="D27" i="4"/>
  <c r="E27" i="4" s="1"/>
  <c r="D26" i="4"/>
  <c r="E26" i="4" s="1"/>
  <c r="D25" i="4"/>
  <c r="E25" i="4" s="1"/>
  <c r="D18" i="4"/>
  <c r="D16" i="4"/>
  <c r="D15" i="4"/>
  <c r="E12" i="4"/>
  <c r="D12" i="4"/>
  <c r="D10" i="4"/>
  <c r="E10" i="4" s="1"/>
  <c r="D9" i="4"/>
  <c r="E9" i="4" s="1"/>
  <c r="D8" i="4"/>
  <c r="E8" i="4" s="1"/>
  <c r="A46" i="2"/>
  <c r="H41" i="2"/>
  <c r="H40" i="2"/>
  <c r="H42" i="2" s="1"/>
  <c r="F36" i="2"/>
  <c r="H36" i="2" s="1"/>
  <c r="F35" i="2"/>
  <c r="F37" i="2" s="1"/>
  <c r="H37" i="2" s="1"/>
  <c r="G28" i="2"/>
  <c r="G25" i="2"/>
  <c r="G24" i="2"/>
  <c r="G23" i="2"/>
  <c r="G22" i="2"/>
  <c r="G13" i="2"/>
  <c r="G10" i="2"/>
  <c r="G19" i="2" s="1"/>
  <c r="G29" i="2" s="1"/>
  <c r="H207" i="1"/>
  <c r="F207" i="1"/>
  <c r="H205" i="1"/>
  <c r="F205" i="1"/>
  <c r="F204" i="1"/>
  <c r="H203" i="1"/>
  <c r="F203" i="1"/>
  <c r="F197" i="1"/>
  <c r="H194" i="1"/>
  <c r="F194" i="1"/>
  <c r="H193" i="1"/>
  <c r="F193" i="1"/>
  <c r="H192" i="1"/>
  <c r="F192" i="1"/>
  <c r="H189" i="1"/>
  <c r="H184" i="1"/>
  <c r="F184" i="1"/>
  <c r="H178" i="1"/>
  <c r="F178" i="1"/>
  <c r="H175" i="1"/>
  <c r="H174" i="1" s="1"/>
  <c r="F175" i="1"/>
  <c r="F174" i="1" s="1"/>
  <c r="H171" i="1"/>
  <c r="F171" i="1"/>
  <c r="H163" i="1"/>
  <c r="H160" i="1" s="1"/>
  <c r="F163" i="1"/>
  <c r="A103" i="1"/>
  <c r="A212" i="1" s="1"/>
  <c r="H99" i="1"/>
  <c r="I99" i="1" s="1"/>
  <c r="H98" i="1"/>
  <c r="F98" i="1"/>
  <c r="H96" i="1"/>
  <c r="I96" i="1" s="1"/>
  <c r="F96" i="1"/>
  <c r="F99" i="1" s="1"/>
  <c r="H92" i="1"/>
  <c r="F92" i="1"/>
  <c r="H91" i="1"/>
  <c r="I91" i="1" s="1"/>
  <c r="F91" i="1"/>
  <c r="F90" i="1"/>
  <c r="H86" i="1"/>
  <c r="F84" i="1"/>
  <c r="H82" i="1"/>
  <c r="F82" i="1"/>
  <c r="H79" i="1"/>
  <c r="I79" i="1" s="1"/>
  <c r="F79" i="1"/>
  <c r="H60" i="1"/>
  <c r="F60" i="1"/>
  <c r="H58" i="1"/>
  <c r="F58" i="1"/>
  <c r="F47" i="1"/>
  <c r="H45" i="1"/>
  <c r="F45" i="1"/>
  <c r="F41" i="1" s="1"/>
  <c r="H44" i="1"/>
  <c r="H41" i="1" s="1"/>
  <c r="F44" i="1"/>
  <c r="H43" i="1"/>
  <c r="F43" i="1"/>
  <c r="H38" i="1"/>
  <c r="F38" i="1"/>
  <c r="H34" i="1"/>
  <c r="H33" i="1" s="1"/>
  <c r="F34" i="1"/>
  <c r="F33" i="1" s="1"/>
  <c r="H31" i="1"/>
  <c r="F31" i="1"/>
  <c r="F7" i="1" s="1"/>
  <c r="H23" i="1"/>
  <c r="F23" i="1"/>
  <c r="F22" i="1"/>
  <c r="H17" i="1"/>
  <c r="H13" i="1" s="1"/>
  <c r="F17" i="1"/>
  <c r="F13" i="1" s="1"/>
  <c r="H10" i="1"/>
  <c r="F10" i="1"/>
  <c r="H8" i="1"/>
  <c r="F8" i="1"/>
  <c r="F47" i="3" l="1"/>
  <c r="F50" i="3" s="1"/>
  <c r="G47" i="3"/>
  <c r="G50" i="3" s="1"/>
  <c r="H47" i="3"/>
  <c r="H50" i="3" s="1"/>
  <c r="J47" i="3"/>
  <c r="J50" i="3" s="1"/>
  <c r="C45" i="3"/>
  <c r="K47" i="3"/>
  <c r="K50" i="3" s="1"/>
  <c r="C34" i="3"/>
  <c r="I47" i="3"/>
  <c r="I50" i="3" s="1"/>
  <c r="L47" i="3"/>
  <c r="L50" i="3" s="1"/>
  <c r="M47" i="3"/>
  <c r="M50" i="3" s="1"/>
  <c r="C24" i="3"/>
  <c r="C47" i="3" s="1"/>
  <c r="C50" i="3" s="1"/>
  <c r="B13" i="5"/>
  <c r="E13" i="5" s="1"/>
  <c r="D17" i="4"/>
  <c r="D30" i="4"/>
  <c r="E30" i="4" s="1"/>
  <c r="H35" i="2"/>
  <c r="G79" i="1"/>
  <c r="G194" i="1"/>
  <c r="G96" i="1"/>
  <c r="G99" i="1"/>
  <c r="G91" i="1"/>
  <c r="H7" i="1"/>
  <c r="F63" i="1"/>
  <c r="G63" i="1" s="1"/>
  <c r="G33" i="1"/>
  <c r="I178" i="1"/>
  <c r="F159" i="1"/>
  <c r="G163" i="1" s="1"/>
  <c r="H159" i="1"/>
  <c r="I175" i="1"/>
  <c r="F160" i="1"/>
  <c r="D20" i="4" l="1"/>
  <c r="I182" i="1"/>
  <c r="I170" i="1"/>
  <c r="I161" i="1"/>
  <c r="I183" i="1"/>
  <c r="I181" i="1"/>
  <c r="I169" i="1"/>
  <c r="I162" i="1"/>
  <c r="I168" i="1"/>
  <c r="I159" i="1"/>
  <c r="H173" i="1"/>
  <c r="G8" i="1"/>
  <c r="G7" i="1"/>
  <c r="I207" i="1"/>
  <c r="G58" i="1"/>
  <c r="I184" i="1"/>
  <c r="I163" i="1"/>
  <c r="G182" i="1"/>
  <c r="G170" i="1"/>
  <c r="G161" i="1"/>
  <c r="G181" i="1"/>
  <c r="G169" i="1"/>
  <c r="G168" i="1"/>
  <c r="G159" i="1"/>
  <c r="G175" i="1"/>
  <c r="F173" i="1"/>
  <c r="G171" i="1"/>
  <c r="G205" i="1"/>
  <c r="G183" i="1"/>
  <c r="G162" i="1"/>
  <c r="G184" i="1"/>
  <c r="I205" i="1"/>
  <c r="G174" i="1"/>
  <c r="I174" i="1"/>
  <c r="I7" i="1"/>
  <c r="G41" i="1"/>
  <c r="G23" i="1"/>
  <c r="I171" i="1"/>
  <c r="G178" i="1"/>
  <c r="G13" i="1"/>
  <c r="G207" i="1"/>
  <c r="H63" i="1"/>
  <c r="I194" i="1"/>
  <c r="E20" i="4" l="1"/>
  <c r="D22" i="4"/>
  <c r="E16" i="4"/>
  <c r="E18" i="4"/>
  <c r="E15" i="4"/>
  <c r="E17" i="4"/>
  <c r="H191" i="1"/>
  <c r="I173" i="1"/>
  <c r="I63" i="1"/>
  <c r="I23" i="1"/>
  <c r="I8" i="1"/>
  <c r="I33" i="1"/>
  <c r="I41" i="1"/>
  <c r="I13" i="1"/>
  <c r="I58" i="1"/>
  <c r="F191" i="1"/>
  <c r="G173" i="1"/>
  <c r="G191" i="1" l="1"/>
  <c r="F209" i="1"/>
  <c r="G209" i="1" s="1"/>
  <c r="I191" i="1"/>
  <c r="H209" i="1"/>
  <c r="I209" i="1" s="1"/>
</calcChain>
</file>

<file path=xl/sharedStrings.xml><?xml version="1.0" encoding="utf-8"?>
<sst xmlns="http://schemas.openxmlformats.org/spreadsheetml/2006/main" count="313" uniqueCount="231">
  <si>
    <t>HOSPITAL DE CARIDADE DE CARAZINHO</t>
  </si>
  <si>
    <t>CNPJ nº 88.450.234/0001-81</t>
  </si>
  <si>
    <t>BALANÇOS PATRIMONIAIS ENCERRADOS EM:</t>
  </si>
  <si>
    <t>ATIVO</t>
  </si>
  <si>
    <t>%</t>
  </si>
  <si>
    <t>Circulante</t>
  </si>
  <si>
    <t>Disponibilidades</t>
  </si>
  <si>
    <t>Caixa</t>
  </si>
  <si>
    <t>Bancos c/Movimento</t>
  </si>
  <si>
    <t>Banco Brasil - PRONOM</t>
  </si>
  <si>
    <t>Aplicações de Liquidez Imediata</t>
  </si>
  <si>
    <t>Créditos</t>
  </si>
  <si>
    <t>Notas Fiscais a Receber</t>
  </si>
  <si>
    <t>Cheques a Receber</t>
  </si>
  <si>
    <t>Títulos e Valores Mobiliários</t>
  </si>
  <si>
    <t>Convênios a Receber</t>
  </si>
  <si>
    <t>SUS  - Municipalização Plena Saúde</t>
  </si>
  <si>
    <t>Conv. Estadual Apoio ao SUS</t>
  </si>
  <si>
    <t>Adiantamento a Fornecedores</t>
  </si>
  <si>
    <t>Bloqueio Judicial PGFN</t>
  </si>
  <si>
    <t>Outros Créditos a Receber</t>
  </si>
  <si>
    <t>Estoques</t>
  </si>
  <si>
    <t>Materiais e Medicamentos</t>
  </si>
  <si>
    <t>Materiais de Sanificação</t>
  </si>
  <si>
    <t>Nutrição e Dietética</t>
  </si>
  <si>
    <t>Materiais de Lavagem e Costura</t>
  </si>
  <si>
    <t>Impressos</t>
  </si>
  <si>
    <t>Materiais de Expediente</t>
  </si>
  <si>
    <t>Materiais de Manutenção</t>
  </si>
  <si>
    <t>Despesas Exercícios Seguintes</t>
  </si>
  <si>
    <t>Despesas Exercício Seguinte C.P.</t>
  </si>
  <si>
    <t>Não Circulante</t>
  </si>
  <si>
    <t>Realizável a Longo Prazo</t>
  </si>
  <si>
    <t>Fundo de Reserva de Consórcios</t>
  </si>
  <si>
    <t>Outros Valores de Longo Prazo</t>
  </si>
  <si>
    <t>Despesas Exercício Seguinte L.P.</t>
  </si>
  <si>
    <t>Investimentos</t>
  </si>
  <si>
    <t>Ações Telefônica Brasil S.A.</t>
  </si>
  <si>
    <t>Cota Capital Unicred</t>
  </si>
  <si>
    <t>Imobilizado</t>
  </si>
  <si>
    <t>Terrenos</t>
  </si>
  <si>
    <t>Edificações Hospitalares</t>
  </si>
  <si>
    <t>Instalações</t>
  </si>
  <si>
    <t>Equipamentos</t>
  </si>
  <si>
    <t>Grupo Gerador</t>
  </si>
  <si>
    <t>Móveis e Utensílios</t>
  </si>
  <si>
    <t>Prog. Computador/ Equip. de Infor.</t>
  </si>
  <si>
    <t>Biblioteca</t>
  </si>
  <si>
    <t>Rouparia</t>
  </si>
  <si>
    <t>Elevadores</t>
  </si>
  <si>
    <t>Poços Artesianos</t>
  </si>
  <si>
    <t>Central de Ar Medicinal</t>
  </si>
  <si>
    <t>Estação de Tratamento Efluentes</t>
  </si>
  <si>
    <t>Veículos</t>
  </si>
  <si>
    <t>Consórcios</t>
  </si>
  <si>
    <t>Restaurante HCC</t>
  </si>
  <si>
    <t>Imóveis Bairro São Lucas</t>
  </si>
  <si>
    <t>Imóveis</t>
  </si>
  <si>
    <t>( - ) Depreciação Acumulada de Bens</t>
  </si>
  <si>
    <t>TOTAL DO ATIVO</t>
  </si>
  <si>
    <t xml:space="preserve">    Felipe Sohne</t>
  </si>
  <si>
    <t>José Armando Lubian</t>
  </si>
  <si>
    <t xml:space="preserve">    Administrador CRA-RS 34.398</t>
  </si>
  <si>
    <t>Contador CRC-RS 65.661</t>
  </si>
  <si>
    <t>CPF 014.802.380-07</t>
  </si>
  <si>
    <t>CPF 638.529.850-72</t>
  </si>
  <si>
    <t>PASSIVO</t>
  </si>
  <si>
    <t>Fornecedores Nacionais</t>
  </si>
  <si>
    <t xml:space="preserve"> </t>
  </si>
  <si>
    <t>Emprestimos e Financiamentos</t>
  </si>
  <si>
    <t>(=) Obrigações Sociais</t>
  </si>
  <si>
    <t xml:space="preserve">       (+) Salarios a Pagar</t>
  </si>
  <si>
    <t xml:space="preserve">       (+) FGTS/INSS/INSS parcelado a recolher</t>
  </si>
  <si>
    <t xml:space="preserve">Obrigações Fiscais </t>
  </si>
  <si>
    <t>Honorários Médicos/Prestadores a Repassar</t>
  </si>
  <si>
    <t>Adiantamento de Clientes</t>
  </si>
  <si>
    <t>Adiant. Unimed Ressonancia magnet.</t>
  </si>
  <si>
    <t>Provisões de Férias/Encargos e 13º salário</t>
  </si>
  <si>
    <t>Outras Obrigações a Pagar</t>
  </si>
  <si>
    <t>Exigível a Longo Prazo</t>
  </si>
  <si>
    <t>Empréstimos Longo prazo</t>
  </si>
  <si>
    <t>Obrigações Sociais Parceladas L.P.</t>
  </si>
  <si>
    <t>Outros Exigíveis de L.P.</t>
  </si>
  <si>
    <t>Patrimônio Líquido</t>
  </si>
  <si>
    <t>Patrimônio Social</t>
  </si>
  <si>
    <t>Superávit/(Déficit) Acumulados</t>
  </si>
  <si>
    <t>TOTAL DO PASSIVO</t>
  </si>
  <si>
    <t>DEMONSTRAÇÃO DOS RESULTADOS DOS EXERCÍCIOS - ENCERRADOS EM:</t>
  </si>
  <si>
    <t>(=) Receita Bruta Operacional</t>
  </si>
  <si>
    <t xml:space="preserve">     Serviços Prestados</t>
  </si>
  <si>
    <t>(+) Assistência Médica - SUS</t>
  </si>
  <si>
    <t>(+) SUS - Ambulatório</t>
  </si>
  <si>
    <t>(+) Convênios</t>
  </si>
  <si>
    <t xml:space="preserve">      Pacientes Ipergs</t>
  </si>
  <si>
    <t xml:space="preserve">      Pacientes Unimed</t>
  </si>
  <si>
    <t xml:space="preserve">      Pacientes Capsem</t>
  </si>
  <si>
    <t xml:space="preserve">      Pacientes Outros Convênios</t>
  </si>
  <si>
    <t>(+) Particulares Internados</t>
  </si>
  <si>
    <t>(-) Glosas</t>
  </si>
  <si>
    <t>(+) Particulares Ambulatoriais</t>
  </si>
  <si>
    <t xml:space="preserve">      Subvenções Mensais </t>
  </si>
  <si>
    <t>(+) Subvenções mensais de Apoio ao SUS</t>
  </si>
  <si>
    <t>(=) Receita Líquida Operacional</t>
  </si>
  <si>
    <t>(=) Despesas/Custos Operacionais</t>
  </si>
  <si>
    <t>(-) Despesas com Pessoal</t>
  </si>
  <si>
    <t xml:space="preserve">   (-) Despesa com pessoal próprio</t>
  </si>
  <si>
    <t xml:space="preserve">   (-) Encargos sociais</t>
  </si>
  <si>
    <t xml:space="preserve">(-) Serviços de terceiros </t>
  </si>
  <si>
    <t xml:space="preserve">   (-) Serviços de terceiros – P. Jurídica</t>
  </si>
  <si>
    <t xml:space="preserve">   (-) Serviços de terceiros – P. Física</t>
  </si>
  <si>
    <t>(-) Materiais e medicamentos</t>
  </si>
  <si>
    <t>(-) Consumo - gêneros alimentícios</t>
  </si>
  <si>
    <t>(-) Outras despesas  hospitalares</t>
  </si>
  <si>
    <t>(-) Despesas gerais</t>
  </si>
  <si>
    <t xml:space="preserve">   (-) Despesas com Depreciações</t>
  </si>
  <si>
    <t xml:space="preserve">   (-) Seguro</t>
  </si>
  <si>
    <t xml:space="preserve">   (-) Energia Elétrica</t>
  </si>
  <si>
    <t xml:space="preserve">   (-) Despesas Legais e Judiciais</t>
  </si>
  <si>
    <t xml:space="preserve">   (-) Outros gastos operacionais</t>
  </si>
  <si>
    <t xml:space="preserve">   (-) Impostos e Taxas</t>
  </si>
  <si>
    <t>(=) Superávit/Déficit Operacional</t>
  </si>
  <si>
    <t>Despesas Fiscais e Previdenciárias</t>
  </si>
  <si>
    <t>(-) Benefício Fiscal Previdenciário</t>
  </si>
  <si>
    <t>(=) Receitas não operacionais</t>
  </si>
  <si>
    <t xml:space="preserve">   (+) Alugueis</t>
  </si>
  <si>
    <t xml:space="preserve">   (+) Outras Doações </t>
  </si>
  <si>
    <t xml:space="preserve">   (+) Subvenções Eventuais</t>
  </si>
  <si>
    <t xml:space="preserve">   (+) Vendas Lancheria HCC</t>
  </si>
  <si>
    <t xml:space="preserve">   (+) Proc. Conversão Tabela SUS - URV</t>
  </si>
  <si>
    <t xml:space="preserve">   (+) Participação Exames Ressonancia/Tomografias</t>
  </si>
  <si>
    <t xml:space="preserve">   (+) Outras receitas</t>
  </si>
  <si>
    <t>(-) Despesas não operacionais</t>
  </si>
  <si>
    <t xml:space="preserve">   (-) Outras despesas</t>
  </si>
  <si>
    <t xml:space="preserve">(-) Despesas financeiras </t>
  </si>
  <si>
    <t xml:space="preserve">    (-) Despesas financeiras</t>
  </si>
  <si>
    <t>(+) Receitas de aplicações financeiras</t>
  </si>
  <si>
    <t xml:space="preserve">    (+) Receitas financeiras</t>
  </si>
  <si>
    <t xml:space="preserve">(=) Superávit/(Déficit) </t>
  </si>
  <si>
    <t>DEMONSTRAÇÃO DE ORIGENS E APLICAÇÕES DE RECURSOS</t>
  </si>
  <si>
    <t>DOS EXERCÍCIOS ENCERRADOS EM:</t>
  </si>
  <si>
    <t>ORIGENS DOS RECURSOS</t>
  </si>
  <si>
    <t xml:space="preserve">Das Operações </t>
  </si>
  <si>
    <t>Superávit (Prejuízo) Líquido do Exercício</t>
  </si>
  <si>
    <t>(-)  Ajustes dos Exercícios Anteriores</t>
  </si>
  <si>
    <t>Mais</t>
  </si>
  <si>
    <t>Depreciação Acumulada</t>
  </si>
  <si>
    <t>De Terceiros</t>
  </si>
  <si>
    <t xml:space="preserve">Aumento Passivo Não Circulante </t>
  </si>
  <si>
    <t>Resgate de Ativo Não Circulante Realizável a L.P.</t>
  </si>
  <si>
    <t>Diminuição dos Investimentos</t>
  </si>
  <si>
    <t>TOTAL DAS ORIGENS</t>
  </si>
  <si>
    <t>APLICAÇÃO DE RECURSOS</t>
  </si>
  <si>
    <t>Diminuição do Passivo Não Circulante</t>
  </si>
  <si>
    <t>Acréscimos de Bens do Imobilizado</t>
  </si>
  <si>
    <t>Aumento do Ativo Não Circulante Realizável L.P.</t>
  </si>
  <si>
    <t>TOTAL DAS APLICAÇÕES DE RECURSOS</t>
  </si>
  <si>
    <t>ACRÉSCIMO DO CAPITAL CIRCULANTE LÍQUIDO</t>
  </si>
  <si>
    <t>DEMONSTRAÇÃO DO ACRÉSCIMO / DIMINUIÇÃO DO CAPITAL CIRCULANTE  LÍQUIDO</t>
  </si>
  <si>
    <t>Variação</t>
  </si>
  <si>
    <t>Ativo Circulante</t>
  </si>
  <si>
    <t>Passivo Circulante</t>
  </si>
  <si>
    <t>Aumento C.C.L.</t>
  </si>
  <si>
    <t>Fluxo de Caixa Hospital de Caridade de Carazinho</t>
  </si>
  <si>
    <t>I - DAS ATIVIDADES OPERACIONAIS</t>
  </si>
  <si>
    <t>$</t>
  </si>
  <si>
    <t>ENTRADAS</t>
  </si>
  <si>
    <t xml:space="preserve">    Recebimentos de Clientes</t>
  </si>
  <si>
    <t xml:space="preserve">    Outros Créditos</t>
  </si>
  <si>
    <t>SAÍDAS</t>
  </si>
  <si>
    <r>
      <t xml:space="preserve">    </t>
    </r>
    <r>
      <rPr>
        <sz val="9"/>
        <rFont val="Arial"/>
        <family val="2"/>
      </rPr>
      <t>Pagamentos a Fornecedores</t>
    </r>
  </si>
  <si>
    <t xml:space="preserve">    Pagamentos do Pessoal</t>
  </si>
  <si>
    <t xml:space="preserve">    Serviços de terceiros </t>
  </si>
  <si>
    <t xml:space="preserve">    Despesas gerais - pagamentos</t>
  </si>
  <si>
    <t xml:space="preserve">    Glosas </t>
  </si>
  <si>
    <t>SALDO DAS ATIVIDADES OPERACIONAIS</t>
  </si>
  <si>
    <t>II. - DAS ATIVIDADES NÃO OPERACIONAIS</t>
  </si>
  <si>
    <t xml:space="preserve">    Receitas não operacionais</t>
  </si>
  <si>
    <t xml:space="preserve">    Despesas não operacionais</t>
  </si>
  <si>
    <t>SALDO DAS ATIVIDADES NÃO OPERACIONAIS</t>
  </si>
  <si>
    <t>III - DAS ATIVIDADES DE INVESTIMENTOS</t>
  </si>
  <si>
    <t xml:space="preserve">    Valor de Venda de Permanentes</t>
  </si>
  <si>
    <t xml:space="preserve">    Depreciação acumulada</t>
  </si>
  <si>
    <t xml:space="preserve">    Investimentos no Permanente</t>
  </si>
  <si>
    <t xml:space="preserve">    Investimentos no Realiz. L.P.</t>
  </si>
  <si>
    <t>SALDO DAS ATIVIDADES DE INVESTIMENTO</t>
  </si>
  <si>
    <t>IV - DAS ATIVIDADES DE FINANCIAMENTO</t>
  </si>
  <si>
    <t xml:space="preserve">    Novos Empréstimos</t>
  </si>
  <si>
    <t xml:space="preserve">    Integralização de Capital</t>
  </si>
  <si>
    <t xml:space="preserve">    Amortização de Empréstimos</t>
  </si>
  <si>
    <t xml:space="preserve">    Despesas ( - ) Receitas Financeiras</t>
  </si>
  <si>
    <t xml:space="preserve">    Outras atividades de financiamento</t>
  </si>
  <si>
    <t>SALDO DAS ATIVIDADES DE FINANCIAMENTO</t>
  </si>
  <si>
    <t>SALDO DO PERÍODO</t>
  </si>
  <si>
    <t>( + ) Saldo inicial Caixa/Bancos/Aplic. Finan..</t>
  </si>
  <si>
    <t xml:space="preserve"> = Saldo Final Caixa/Bancos/Aplic. Finan..</t>
  </si>
  <si>
    <t>DEMONSTRAÇÃO DO VALOR ADICIONADO</t>
  </si>
  <si>
    <t>1)  ENTRADAS</t>
  </si>
  <si>
    <t>A) Vendas de Produtos e Serviços</t>
  </si>
  <si>
    <t>B) Receitas Financeiras</t>
  </si>
  <si>
    <t>C) Receitas Não Operacionais</t>
  </si>
  <si>
    <t>TOTAL DAS ENTRADAS</t>
  </si>
  <si>
    <t>2)  SAÍDAS</t>
  </si>
  <si>
    <t>E) Matérias Primas e Bens de Consumo</t>
  </si>
  <si>
    <t xml:space="preserve">F) Serviços de Terceiros </t>
  </si>
  <si>
    <t>G) Demais gastos admin.</t>
  </si>
  <si>
    <t>H) Despesas Não Operacionais</t>
  </si>
  <si>
    <t>TOTAL DAS SAÍDAS</t>
  </si>
  <si>
    <t>3)  VALOR ADICIONADO LÍQUIDO</t>
  </si>
  <si>
    <t xml:space="preserve">4)  DISTRIBUIÇÃO DO VALOR ADICIONADO </t>
  </si>
  <si>
    <t>I) Salários e Encargos</t>
  </si>
  <si>
    <t xml:space="preserve">J) Impostos </t>
  </si>
  <si>
    <t xml:space="preserve">K) Desp. de Emprestimos e Financiamentos </t>
  </si>
  <si>
    <t xml:space="preserve">L) Superávit do Exercício </t>
  </si>
  <si>
    <t xml:space="preserve">VALOR ADICIONADO A SOCIEDADE </t>
  </si>
  <si>
    <t>DEMONSTRAÇÃO DAS MUTAÇÕES DO PATRIMÔNIO LÍQUIDO</t>
  </si>
  <si>
    <t>HISTÓRICOS</t>
  </si>
  <si>
    <t>PATRIMÔNIO</t>
  </si>
  <si>
    <t xml:space="preserve">RESERVAS DE </t>
  </si>
  <si>
    <t>SUPERÁVIT/DÉFICIT</t>
  </si>
  <si>
    <t>TOTAL</t>
  </si>
  <si>
    <t>SOCIAL</t>
  </si>
  <si>
    <t>REAVALIAÇÃO</t>
  </si>
  <si>
    <t>ACUMULADO</t>
  </si>
  <si>
    <t>(+) Ajustes Exercícios Anteriores</t>
  </si>
  <si>
    <t>(+) Superávit do Exercício</t>
  </si>
  <si>
    <t>Felipe Sohne</t>
  </si>
  <si>
    <t>Administrador CRA-RS 34.398</t>
  </si>
  <si>
    <t>Carazinho, 31 de dezembro de 2.020</t>
  </si>
  <si>
    <t xml:space="preserve">   (+) Doações Covid-19</t>
  </si>
  <si>
    <t>Saldo em 31/12/2.019</t>
  </si>
  <si>
    <t>TOTAL EM 31/12/2.020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</si>
</sst>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?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u val="singleAccounting"/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u/>
      <sz val="9"/>
      <name val="Arial"/>
      <family val="2"/>
    </font>
    <font>
      <sz val="11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3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2" fontId="7" fillId="0" borderId="0" xfId="0" applyNumberFormat="1" applyFont="1" applyAlignment="1">
      <alignment horizontal="center"/>
    </xf>
    <xf numFmtId="0" fontId="6" fillId="0" borderId="0" xfId="0" applyFont="1"/>
    <xf numFmtId="164" fontId="8" fillId="0" borderId="0" xfId="0" applyNumberFormat="1" applyFont="1"/>
    <xf numFmtId="164" fontId="7" fillId="0" borderId="0" xfId="1" applyNumberFormat="1" applyFont="1" applyFill="1" applyBorder="1"/>
    <xf numFmtId="164" fontId="7" fillId="0" borderId="0" xfId="1" applyNumberFormat="1" applyFont="1" applyFill="1" applyBorder="1" applyAlignment="1">
      <alignment horizontal="center"/>
    </xf>
    <xf numFmtId="2" fontId="7" fillId="0" borderId="0" xfId="1" applyNumberFormat="1" applyFont="1" applyFill="1" applyBorder="1" applyAlignment="1">
      <alignment horizontal="center"/>
    </xf>
    <xf numFmtId="0" fontId="4" fillId="0" borderId="0" xfId="0" applyFont="1"/>
    <xf numFmtId="164" fontId="4" fillId="0" borderId="0" xfId="1" applyNumberFormat="1" applyFont="1" applyFill="1" applyBorder="1"/>
    <xf numFmtId="0" fontId="7" fillId="0" borderId="0" xfId="0" applyFont="1"/>
    <xf numFmtId="0" fontId="7" fillId="0" borderId="0" xfId="0" applyFont="1" applyAlignment="1">
      <alignment horizontal="center"/>
    </xf>
    <xf numFmtId="164" fontId="8" fillId="0" borderId="0" xfId="1" applyNumberFormat="1" applyFont="1" applyFill="1" applyBorder="1"/>
    <xf numFmtId="164" fontId="7" fillId="0" borderId="0" xfId="0" applyNumberFormat="1" applyFont="1" applyAlignment="1">
      <alignment horizontal="center"/>
    </xf>
    <xf numFmtId="164" fontId="4" fillId="0" borderId="0" xfId="0" applyNumberFormat="1" applyFont="1"/>
    <xf numFmtId="4" fontId="4" fillId="0" borderId="0" xfId="0" applyNumberFormat="1" applyFont="1"/>
    <xf numFmtId="164" fontId="6" fillId="0" borderId="0" xfId="0" applyNumberFormat="1" applyFont="1"/>
    <xf numFmtId="1" fontId="7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164" fontId="4" fillId="0" borderId="0" xfId="1" applyNumberFormat="1" applyFont="1" applyFill="1" applyBorder="1" applyAlignment="1">
      <alignment horizontal="center"/>
    </xf>
    <xf numFmtId="164" fontId="6" fillId="0" borderId="0" xfId="1" applyNumberFormat="1" applyFont="1" applyFill="1" applyBorder="1"/>
    <xf numFmtId="164" fontId="3" fillId="0" borderId="0" xfId="1" applyNumberFormat="1" applyFont="1" applyFill="1" applyBorder="1"/>
    <xf numFmtId="0" fontId="3" fillId="0" borderId="0" xfId="0" applyFont="1"/>
    <xf numFmtId="164" fontId="7" fillId="0" borderId="0" xfId="0" applyNumberFormat="1" applyFont="1"/>
    <xf numFmtId="43" fontId="7" fillId="0" borderId="0" xfId="0" applyNumberFormat="1" applyFont="1"/>
    <xf numFmtId="0" fontId="9" fillId="0" borderId="0" xfId="0" applyFont="1"/>
    <xf numFmtId="164" fontId="6" fillId="0" borderId="0" xfId="1" applyNumberFormat="1" applyFont="1" applyFill="1" applyBorder="1" applyAlignment="1">
      <alignment horizontal="center"/>
    </xf>
    <xf numFmtId="164" fontId="3" fillId="0" borderId="0" xfId="0" applyNumberFormat="1" applyFont="1"/>
    <xf numFmtId="0" fontId="10" fillId="0" borderId="0" xfId="0" applyFont="1"/>
    <xf numFmtId="165" fontId="10" fillId="0" borderId="0" xfId="0" applyNumberFormat="1" applyFont="1"/>
    <xf numFmtId="17" fontId="10" fillId="0" borderId="0" xfId="0" applyNumberFormat="1" applyFont="1"/>
    <xf numFmtId="4" fontId="10" fillId="0" borderId="1" xfId="0" applyNumberFormat="1" applyFont="1" applyBorder="1"/>
    <xf numFmtId="165" fontId="10" fillId="0" borderId="1" xfId="0" applyNumberFormat="1" applyFont="1" applyBorder="1"/>
    <xf numFmtId="165" fontId="10" fillId="0" borderId="1" xfId="1" applyNumberFormat="1" applyFont="1" applyFill="1" applyBorder="1"/>
    <xf numFmtId="164" fontId="9" fillId="0" borderId="1" xfId="1" applyNumberFormat="1" applyFont="1" applyFill="1" applyBorder="1"/>
    <xf numFmtId="164" fontId="10" fillId="0" borderId="1" xfId="1" applyNumberFormat="1" applyFont="1" applyFill="1" applyBorder="1"/>
    <xf numFmtId="0" fontId="10" fillId="0" borderId="1" xfId="0" applyFont="1" applyBorder="1"/>
    <xf numFmtId="4" fontId="10" fillId="0" borderId="0" xfId="0" applyNumberFormat="1" applyFont="1"/>
    <xf numFmtId="165" fontId="10" fillId="0" borderId="2" xfId="0" applyNumberFormat="1" applyFont="1" applyBorder="1"/>
    <xf numFmtId="165" fontId="10" fillId="0" borderId="0" xfId="1" applyNumberFormat="1" applyFont="1" applyFill="1" applyBorder="1"/>
    <xf numFmtId="164" fontId="9" fillId="0" borderId="0" xfId="1" applyNumberFormat="1" applyFont="1" applyFill="1" applyBorder="1"/>
    <xf numFmtId="164" fontId="10" fillId="0" borderId="0" xfId="1" applyNumberFormat="1" applyFont="1" applyFill="1" applyBorder="1"/>
    <xf numFmtId="4" fontId="9" fillId="0" borderId="0" xfId="0" applyNumberFormat="1" applyFont="1"/>
    <xf numFmtId="17" fontId="9" fillId="0" borderId="0" xfId="1" applyNumberFormat="1" applyFont="1" applyFill="1" applyBorder="1" applyAlignment="1">
      <alignment horizontal="center"/>
    </xf>
    <xf numFmtId="165" fontId="9" fillId="0" borderId="1" xfId="1" applyNumberFormat="1" applyFont="1" applyFill="1" applyBorder="1" applyAlignment="1">
      <alignment horizontal="center"/>
    </xf>
    <xf numFmtId="4" fontId="11" fillId="0" borderId="0" xfId="0" applyNumberFormat="1" applyFont="1"/>
    <xf numFmtId="0" fontId="11" fillId="0" borderId="0" xfId="0" applyFont="1"/>
    <xf numFmtId="0" fontId="9" fillId="0" borderId="1" xfId="0" applyFont="1" applyBorder="1"/>
    <xf numFmtId="164" fontId="10" fillId="0" borderId="0" xfId="0" applyNumberFormat="1" applyFont="1"/>
    <xf numFmtId="165" fontId="9" fillId="0" borderId="0" xfId="0" applyNumberFormat="1" applyFont="1"/>
    <xf numFmtId="164" fontId="9" fillId="0" borderId="0" xfId="1" applyNumberFormat="1" applyFont="1" applyFill="1" applyBorder="1" applyAlignment="1">
      <alignment horizontal="center"/>
    </xf>
    <xf numFmtId="43" fontId="10" fillId="0" borderId="0" xfId="0" applyNumberFormat="1" applyFont="1"/>
    <xf numFmtId="165" fontId="9" fillId="0" borderId="0" xfId="0" applyNumberFormat="1" applyFont="1" applyAlignment="1">
      <alignment horizontal="center"/>
    </xf>
    <xf numFmtId="2" fontId="6" fillId="0" borderId="0" xfId="0" applyNumberFormat="1" applyFont="1" applyAlignment="1">
      <alignment horizontal="center"/>
    </xf>
    <xf numFmtId="164" fontId="3" fillId="0" borderId="0" xfId="1" applyNumberFormat="1" applyFont="1" applyFill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6" fillId="0" borderId="6" xfId="0" applyFont="1" applyBorder="1"/>
    <xf numFmtId="164" fontId="6" fillId="0" borderId="7" xfId="1" applyNumberFormat="1" applyFont="1" applyFill="1" applyBorder="1"/>
    <xf numFmtId="164" fontId="6" fillId="0" borderId="8" xfId="1" applyNumberFormat="1" applyFont="1" applyFill="1" applyBorder="1"/>
    <xf numFmtId="0" fontId="3" fillId="0" borderId="9" xfId="0" applyFont="1" applyBorder="1"/>
    <xf numFmtId="164" fontId="3" fillId="0" borderId="10" xfId="1" applyNumberFormat="1" applyFont="1" applyFill="1" applyBorder="1"/>
    <xf numFmtId="164" fontId="3" fillId="0" borderId="11" xfId="1" applyNumberFormat="1" applyFont="1" applyFill="1" applyBorder="1"/>
    <xf numFmtId="0" fontId="6" fillId="0" borderId="9" xfId="0" applyFont="1" applyBorder="1"/>
    <xf numFmtId="164" fontId="6" fillId="0" borderId="10" xfId="1" applyNumberFormat="1" applyFont="1" applyFill="1" applyBorder="1"/>
    <xf numFmtId="164" fontId="6" fillId="0" borderId="11" xfId="1" applyNumberFormat="1" applyFont="1" applyFill="1" applyBorder="1"/>
    <xf numFmtId="0" fontId="3" fillId="0" borderId="12" xfId="0" applyFont="1" applyBorder="1"/>
    <xf numFmtId="164" fontId="3" fillId="0" borderId="13" xfId="1" applyNumberFormat="1" applyFont="1" applyFill="1" applyBorder="1"/>
    <xf numFmtId="164" fontId="3" fillId="0" borderId="14" xfId="1" applyNumberFormat="1" applyFont="1" applyFill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5" fontId="6" fillId="0" borderId="0" xfId="1" applyNumberFormat="1" applyFont="1" applyFill="1" applyBorder="1" applyAlignment="1">
      <alignment horizontal="center"/>
    </xf>
    <xf numFmtId="164" fontId="9" fillId="0" borderId="0" xfId="1" applyNumberFormat="1" applyFont="1" applyFill="1" applyBorder="1" applyAlignment="1">
      <alignment horizontal="center"/>
    </xf>
    <xf numFmtId="0" fontId="5" fillId="0" borderId="0" xfId="0" applyFont="1"/>
    <xf numFmtId="0" fontId="12" fillId="0" borderId="0" xfId="0" applyFont="1"/>
    <xf numFmtId="164" fontId="12" fillId="0" borderId="0" xfId="0" applyNumberFormat="1" applyFont="1"/>
    <xf numFmtId="164" fontId="12" fillId="0" borderId="0" xfId="1" applyNumberFormat="1" applyFont="1" applyFill="1" applyBorder="1"/>
    <xf numFmtId="43" fontId="3" fillId="0" borderId="0" xfId="0" applyNumberFormat="1" applyFont="1"/>
    <xf numFmtId="43" fontId="6" fillId="0" borderId="0" xfId="0" applyNumberFormat="1" applyFont="1"/>
    <xf numFmtId="43" fontId="4" fillId="0" borderId="0" xfId="0" applyNumberFormat="1" applyFont="1"/>
    <xf numFmtId="165" fontId="9" fillId="0" borderId="0" xfId="1" applyNumberFormat="1" applyFont="1" applyFill="1" applyBorder="1"/>
    <xf numFmtId="165" fontId="9" fillId="0" borderId="1" xfId="1" applyNumberFormat="1" applyFont="1" applyFill="1" applyBorder="1"/>
    <xf numFmtId="165" fontId="9" fillId="0" borderId="1" xfId="0" applyNumberFormat="1" applyFont="1" applyBorder="1"/>
  </cellXfs>
  <cellStyles count="2"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5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4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19/FLUXO%20DE%20CAIXA%202.019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19/COTA%20PATRONAL%202019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20/FLUXO%20DE%20CAIXA%202.02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finan.HCC/Documents/Balan&#231;os%20Patrimoniais/BALAN&#199;O%202020/COTA%20PATRONAL%202020.xls" TargetMode="External"/></Relationships>
</file>

<file path=xl/externalLinks/_rels/externalLink5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I~1\AppData\Local\Temp\pid-59620\Balan&#231;o%202.020.XLS" TargetMode="External"/><Relationship Id="rId1" Type="http://schemas.openxmlformats.org/officeDocument/2006/relationships/externalLinkPath" Target="/Users/ADMINI~1/AppData/Local/Temp/pid-59620/Balan&#231;o%202.02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 dre"/>
      <sheetName val="fluxo de caixa"/>
      <sheetName val="demostração acumulada"/>
      <sheetName val="calculo custos x rec."/>
      <sheetName val="balancete 2019"/>
      <sheetName val="balancete 209"/>
      <sheetName val="balancete 20"/>
      <sheetName val="balancete 202"/>
      <sheetName val="balancete 2020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7">
          <cell r="B7">
            <v>1764745.93</v>
          </cell>
        </row>
        <row r="88">
          <cell r="N88">
            <v>851131.36999999394</v>
          </cell>
        </row>
      </sheetData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4"/>
      <sheetName val="Plan1"/>
      <sheetName val="Plan2"/>
      <sheetName val="Plan3"/>
    </sheetNames>
    <sheetDataSet>
      <sheetData sheetId="0" refreshError="1"/>
      <sheetData sheetId="1" refreshError="1"/>
      <sheetData sheetId="2" refreshError="1">
        <row r="21">
          <cell r="F21">
            <v>4077300.91946</v>
          </cell>
        </row>
      </sheetData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sumo dre"/>
      <sheetName val="fluxo de caixa"/>
      <sheetName val="demostração acumulada"/>
      <sheetName val="calculo custos x rec."/>
      <sheetName val="balancete 2020"/>
    </sheetNames>
    <sheetDataSet>
      <sheetData sheetId="0"/>
      <sheetData sheetId="1"/>
      <sheetData sheetId="2"/>
      <sheetData sheetId="3"/>
      <sheetData sheetId="4">
        <row r="7">
          <cell r="B7">
            <v>2702359.29</v>
          </cell>
          <cell r="C7">
            <v>2668849.71</v>
          </cell>
          <cell r="D7">
            <v>2680330.02</v>
          </cell>
          <cell r="E7">
            <v>2495586.08</v>
          </cell>
          <cell r="F7">
            <v>1817572.78</v>
          </cell>
          <cell r="G7">
            <v>1863006.3599999999</v>
          </cell>
          <cell r="H7">
            <v>3556303.2299999995</v>
          </cell>
          <cell r="I7">
            <v>2895046.17</v>
          </cell>
          <cell r="J7">
            <v>2227184.1799999997</v>
          </cell>
          <cell r="K7">
            <v>2431146.3200000003</v>
          </cell>
          <cell r="L7">
            <v>1600513.2200000002</v>
          </cell>
          <cell r="M7">
            <v>2005674.73</v>
          </cell>
        </row>
        <row r="11">
          <cell r="B11">
            <v>8935816.3399999999</v>
          </cell>
          <cell r="C11">
            <v>9046631.8399999999</v>
          </cell>
          <cell r="D11">
            <v>8537060.5</v>
          </cell>
          <cell r="E11">
            <v>8420746.790000001</v>
          </cell>
          <cell r="F11">
            <v>8416302.3800000008</v>
          </cell>
          <cell r="G11">
            <v>8363531.0800000001</v>
          </cell>
          <cell r="H11">
            <v>7758128.8500000006</v>
          </cell>
          <cell r="I11">
            <v>8211779.5</v>
          </cell>
          <cell r="J11">
            <v>8548544.75</v>
          </cell>
          <cell r="K11">
            <v>8255116.9699999997</v>
          </cell>
          <cell r="L11">
            <v>8088515.3499999996</v>
          </cell>
          <cell r="M11">
            <v>7966241.8599999994</v>
          </cell>
          <cell r="N11">
            <v>4509688.25</v>
          </cell>
        </row>
        <row r="18">
          <cell r="B18">
            <v>1096415.3999999999</v>
          </cell>
          <cell r="C18">
            <v>1096415.3999999999</v>
          </cell>
          <cell r="D18">
            <v>1101995.3999999999</v>
          </cell>
          <cell r="E18">
            <v>1101995.3999999999</v>
          </cell>
          <cell r="F18">
            <v>1170483.44</v>
          </cell>
          <cell r="G18">
            <v>1170483.44</v>
          </cell>
          <cell r="H18">
            <v>1170483.44</v>
          </cell>
          <cell r="I18">
            <v>1170483.44</v>
          </cell>
          <cell r="J18">
            <v>1183693.44</v>
          </cell>
          <cell r="K18">
            <v>1184638.44</v>
          </cell>
          <cell r="L18">
            <v>1185582.56</v>
          </cell>
          <cell r="M18">
            <v>1185582.56</v>
          </cell>
          <cell r="N18">
            <v>1141017.3599999999</v>
          </cell>
        </row>
        <row r="21">
          <cell r="B21">
            <v>573813.02</v>
          </cell>
          <cell r="C21">
            <v>608323.97</v>
          </cell>
          <cell r="D21">
            <v>194598.34999999998</v>
          </cell>
          <cell r="E21">
            <v>229037.46</v>
          </cell>
          <cell r="F21">
            <v>324614.11</v>
          </cell>
          <cell r="G21">
            <v>348565.62999999995</v>
          </cell>
          <cell r="H21">
            <v>66009.45</v>
          </cell>
          <cell r="I21">
            <v>220170.87</v>
          </cell>
          <cell r="J21">
            <v>90028.97</v>
          </cell>
          <cell r="K21">
            <v>132010.93</v>
          </cell>
          <cell r="L21">
            <v>659987.77999999991</v>
          </cell>
          <cell r="M21">
            <v>624470.84000000008</v>
          </cell>
          <cell r="N21">
            <v>15904.95</v>
          </cell>
        </row>
        <row r="25">
          <cell r="B25">
            <v>15074.1</v>
          </cell>
          <cell r="C25">
            <v>15649.5</v>
          </cell>
          <cell r="D25">
            <v>16324.9</v>
          </cell>
          <cell r="E25">
            <v>17000.3</v>
          </cell>
          <cell r="F25">
            <v>17388</v>
          </cell>
          <cell r="G25">
            <v>18073.3</v>
          </cell>
          <cell r="H25">
            <v>18655.3</v>
          </cell>
          <cell r="I25">
            <v>19237.3</v>
          </cell>
          <cell r="J25">
            <v>19922.599999999999</v>
          </cell>
          <cell r="K25">
            <v>20607.900000000001</v>
          </cell>
          <cell r="L25">
            <v>21302.36</v>
          </cell>
          <cell r="M25">
            <v>21996.82</v>
          </cell>
          <cell r="N25">
            <v>22381.38</v>
          </cell>
        </row>
        <row r="26">
          <cell r="B26">
            <v>0</v>
          </cell>
          <cell r="C26">
            <v>120110.54</v>
          </cell>
          <cell r="D26">
            <v>109191.41</v>
          </cell>
          <cell r="E26">
            <v>98272.28</v>
          </cell>
          <cell r="F26">
            <v>87353.15</v>
          </cell>
          <cell r="G26">
            <v>76434.02</v>
          </cell>
          <cell r="H26">
            <v>65514.89</v>
          </cell>
          <cell r="I26">
            <v>54595.76</v>
          </cell>
          <cell r="J26">
            <v>43676.63</v>
          </cell>
          <cell r="K26">
            <v>32757.5</v>
          </cell>
          <cell r="L26">
            <v>21838.37</v>
          </cell>
          <cell r="M26">
            <v>10919.24</v>
          </cell>
          <cell r="N26">
            <v>131029.56</v>
          </cell>
        </row>
        <row r="28">
          <cell r="B28">
            <v>733467.08</v>
          </cell>
          <cell r="C28">
            <v>1912857.96</v>
          </cell>
          <cell r="D28">
            <v>1912982.85</v>
          </cell>
          <cell r="E28">
            <v>1913234.22</v>
          </cell>
          <cell r="F28">
            <v>1913234.22</v>
          </cell>
          <cell r="G28">
            <v>1913361.34</v>
          </cell>
          <cell r="H28">
            <v>1913488.97</v>
          </cell>
          <cell r="I28">
            <v>1913615.56</v>
          </cell>
          <cell r="J28">
            <v>1913748.84</v>
          </cell>
          <cell r="K28">
            <v>1913783.3599999999</v>
          </cell>
          <cell r="L28">
            <v>1913817.28</v>
          </cell>
          <cell r="M28">
            <v>1910702.19</v>
          </cell>
          <cell r="N28">
            <v>1779672.74</v>
          </cell>
        </row>
        <row r="34">
          <cell r="B34">
            <v>58315.54</v>
          </cell>
          <cell r="C34">
            <v>58315.54</v>
          </cell>
          <cell r="D34">
            <v>58315.54</v>
          </cell>
          <cell r="E34">
            <v>58315.54</v>
          </cell>
          <cell r="F34">
            <v>58315.54</v>
          </cell>
          <cell r="G34">
            <v>58315.54</v>
          </cell>
          <cell r="H34">
            <v>58315.54</v>
          </cell>
          <cell r="I34">
            <v>58315.54</v>
          </cell>
          <cell r="J34">
            <v>58315.54</v>
          </cell>
          <cell r="K34">
            <v>58315.54</v>
          </cell>
          <cell r="L34">
            <v>58315.54</v>
          </cell>
          <cell r="M34">
            <v>58315.54</v>
          </cell>
          <cell r="N34">
            <v>75009.649999999994</v>
          </cell>
        </row>
        <row r="35">
          <cell r="B35">
            <v>19901204.640000001</v>
          </cell>
          <cell r="C35">
            <v>19908063.469999999</v>
          </cell>
          <cell r="D35">
            <v>20563251.879999999</v>
          </cell>
          <cell r="E35">
            <v>20839276.510000002</v>
          </cell>
          <cell r="F35">
            <v>20898755.690000001</v>
          </cell>
          <cell r="G35">
            <v>20907074.84</v>
          </cell>
          <cell r="H35">
            <v>21213281.09</v>
          </cell>
          <cell r="I35">
            <v>22067969.190000001</v>
          </cell>
          <cell r="J35">
            <v>22711049.73</v>
          </cell>
          <cell r="K35">
            <v>22900165.809999999</v>
          </cell>
          <cell r="L35">
            <v>23019550.210000001</v>
          </cell>
          <cell r="M35">
            <v>23214396.899999999</v>
          </cell>
          <cell r="N35">
            <v>23506090.579999998</v>
          </cell>
        </row>
        <row r="36">
          <cell r="B36">
            <v>4461548.42</v>
          </cell>
          <cell r="C36">
            <v>4537122.7</v>
          </cell>
          <cell r="D36">
            <v>4612696.9800000004</v>
          </cell>
          <cell r="E36">
            <v>4688271.26</v>
          </cell>
          <cell r="F36">
            <v>4763845.54</v>
          </cell>
          <cell r="G36">
            <v>4839419.82</v>
          </cell>
          <cell r="H36">
            <v>4914994.0999999996</v>
          </cell>
          <cell r="I36">
            <v>4990568.38</v>
          </cell>
          <cell r="J36">
            <v>5066142.66</v>
          </cell>
          <cell r="K36">
            <v>5141716.9400000004</v>
          </cell>
          <cell r="L36">
            <v>5217291.22</v>
          </cell>
          <cell r="M36">
            <v>5292865.5</v>
          </cell>
          <cell r="N36">
            <v>5459552.3799999999</v>
          </cell>
        </row>
        <row r="50">
          <cell r="B50">
            <v>4695578.29</v>
          </cell>
          <cell r="C50">
            <v>4412013.2300000004</v>
          </cell>
          <cell r="D50">
            <v>4191721.54</v>
          </cell>
          <cell r="E50">
            <v>3962898.73</v>
          </cell>
          <cell r="F50">
            <v>3728006.83</v>
          </cell>
          <cell r="G50">
            <v>3522557.35</v>
          </cell>
          <cell r="H50">
            <v>3129051.99</v>
          </cell>
          <cell r="I50">
            <v>2932758.42</v>
          </cell>
          <cell r="J50">
            <v>2795864.66</v>
          </cell>
          <cell r="K50">
            <v>2249461</v>
          </cell>
          <cell r="L50">
            <v>1905749.54</v>
          </cell>
          <cell r="M50">
            <v>1815053.07</v>
          </cell>
          <cell r="N50">
            <v>3826798.5</v>
          </cell>
        </row>
        <row r="51">
          <cell r="B51">
            <v>3579480.04</v>
          </cell>
          <cell r="C51">
            <v>4908756.33</v>
          </cell>
          <cell r="D51">
            <v>4994201.6100000003</v>
          </cell>
          <cell r="E51">
            <v>5063299.8099999996</v>
          </cell>
          <cell r="F51">
            <v>4906159.95</v>
          </cell>
          <cell r="G51">
            <v>4904449.18</v>
          </cell>
          <cell r="H51">
            <v>4661522.3600000003</v>
          </cell>
          <cell r="I51">
            <v>4812640.8</v>
          </cell>
          <cell r="J51">
            <v>4524482.33</v>
          </cell>
          <cell r="K51">
            <v>4713780.93</v>
          </cell>
          <cell r="L51">
            <v>5078342.28</v>
          </cell>
          <cell r="M51">
            <v>5189368.16</v>
          </cell>
          <cell r="N51">
            <v>5164172.97</v>
          </cell>
        </row>
        <row r="52">
          <cell r="B52">
            <v>1317616.93</v>
          </cell>
          <cell r="C52">
            <v>1319413.27</v>
          </cell>
          <cell r="D52">
            <v>1332015.54</v>
          </cell>
          <cell r="E52">
            <v>1381050.95</v>
          </cell>
          <cell r="F52">
            <v>1406820.41</v>
          </cell>
          <cell r="G52">
            <v>1458131.93</v>
          </cell>
          <cell r="H52">
            <v>1450328.47</v>
          </cell>
          <cell r="I52">
            <v>1483076.67</v>
          </cell>
          <cell r="J52">
            <v>1525460.91</v>
          </cell>
          <cell r="K52">
            <v>1537771.74</v>
          </cell>
          <cell r="L52">
            <v>1553679.58</v>
          </cell>
          <cell r="M52">
            <v>1585316.53</v>
          </cell>
          <cell r="N52">
            <v>1630283.48</v>
          </cell>
        </row>
        <row r="53">
          <cell r="B53">
            <v>4873381.12</v>
          </cell>
          <cell r="C53">
            <v>5053875.7200000007</v>
          </cell>
          <cell r="D53">
            <v>5188313.6500000004</v>
          </cell>
          <cell r="E53">
            <v>5259653.71</v>
          </cell>
          <cell r="F53">
            <v>5407484.1399999997</v>
          </cell>
          <cell r="G53">
            <v>5679445.6999999993</v>
          </cell>
          <cell r="H53">
            <v>5912057.2800000003</v>
          </cell>
          <cell r="I53">
            <v>5888370.0500000007</v>
          </cell>
          <cell r="J53">
            <v>5965680.9500000011</v>
          </cell>
          <cell r="K53">
            <v>5940066.1699999999</v>
          </cell>
          <cell r="L53">
            <v>5850029.9400000004</v>
          </cell>
          <cell r="M53">
            <v>5920951.5499999998</v>
          </cell>
          <cell r="N53">
            <v>4782729.58</v>
          </cell>
        </row>
        <row r="62">
          <cell r="B62">
            <v>1216194.4099999999</v>
          </cell>
          <cell r="C62">
            <v>1195469.31</v>
          </cell>
          <cell r="D62">
            <v>1256719.56</v>
          </cell>
          <cell r="E62">
            <v>1253620.8600000001</v>
          </cell>
          <cell r="F62">
            <v>1235567.44</v>
          </cell>
          <cell r="G62">
            <v>1249678.48</v>
          </cell>
          <cell r="H62">
            <v>1172386.6599999999</v>
          </cell>
          <cell r="I62">
            <v>1192576.97</v>
          </cell>
          <cell r="J62">
            <v>1221530.1099999999</v>
          </cell>
          <cell r="K62">
            <v>1186128.68</v>
          </cell>
          <cell r="L62">
            <v>823391.14</v>
          </cell>
          <cell r="M62">
            <v>782540.64</v>
          </cell>
          <cell r="N62">
            <v>891488.21</v>
          </cell>
        </row>
        <row r="63">
          <cell r="B63">
            <v>0</v>
          </cell>
          <cell r="C63">
            <v>0</v>
          </cell>
          <cell r="D63">
            <v>0</v>
          </cell>
          <cell r="E63">
            <v>0</v>
          </cell>
          <cell r="F63">
            <v>0</v>
          </cell>
          <cell r="G63">
            <v>0</v>
          </cell>
          <cell r="H63">
            <v>0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</row>
        <row r="64">
          <cell r="B64">
            <v>640906.39</v>
          </cell>
          <cell r="C64">
            <v>823529.05</v>
          </cell>
          <cell r="D64">
            <v>516022.01</v>
          </cell>
          <cell r="E64">
            <v>441875.02</v>
          </cell>
          <cell r="F64">
            <v>457987.17</v>
          </cell>
          <cell r="G64">
            <v>446172.4</v>
          </cell>
          <cell r="H64">
            <v>461122.78</v>
          </cell>
          <cell r="I64">
            <v>508289.56</v>
          </cell>
          <cell r="J64">
            <v>500439.92</v>
          </cell>
          <cell r="K64">
            <v>504527.57</v>
          </cell>
          <cell r="L64">
            <v>533553.96</v>
          </cell>
          <cell r="M64">
            <v>438975.81</v>
          </cell>
          <cell r="N64">
            <v>356501.4</v>
          </cell>
        </row>
        <row r="71">
          <cell r="B71">
            <v>3675451.92</v>
          </cell>
          <cell r="C71">
            <v>3675451.92</v>
          </cell>
          <cell r="D71">
            <v>3675451.92</v>
          </cell>
          <cell r="E71">
            <v>3675451.92</v>
          </cell>
          <cell r="F71">
            <v>3675451.92</v>
          </cell>
          <cell r="G71">
            <v>3675451.92</v>
          </cell>
          <cell r="H71">
            <v>3675451.92</v>
          </cell>
          <cell r="I71">
            <v>3675451.92</v>
          </cell>
          <cell r="J71">
            <v>3675451.92</v>
          </cell>
          <cell r="K71">
            <v>3675451.92</v>
          </cell>
          <cell r="L71">
            <v>3675451.92</v>
          </cell>
          <cell r="M71">
            <v>4068785.25</v>
          </cell>
          <cell r="N71">
            <v>2359234.61</v>
          </cell>
        </row>
        <row r="72">
          <cell r="B72">
            <v>4355957.5999999996</v>
          </cell>
          <cell r="C72">
            <v>4355957.5999999996</v>
          </cell>
          <cell r="D72">
            <v>4355957.5999999996</v>
          </cell>
          <cell r="E72">
            <v>4355957.5999999996</v>
          </cell>
          <cell r="F72">
            <v>4355957.5999999996</v>
          </cell>
          <cell r="G72">
            <v>4355957.5999999996</v>
          </cell>
          <cell r="H72">
            <v>4355957.5999999996</v>
          </cell>
          <cell r="I72">
            <v>4355957.5999999996</v>
          </cell>
          <cell r="J72">
            <v>4355957.5999999996</v>
          </cell>
          <cell r="K72">
            <v>4355957.5999999996</v>
          </cell>
          <cell r="L72">
            <v>4355957.5999999996</v>
          </cell>
          <cell r="M72">
            <v>4355957.5999999996</v>
          </cell>
          <cell r="N72">
            <v>4355957.5999999996</v>
          </cell>
        </row>
        <row r="74">
          <cell r="C74">
            <v>2791901.48</v>
          </cell>
          <cell r="D74">
            <v>2849648.8500000006</v>
          </cell>
          <cell r="E74">
            <v>2849648.8500000006</v>
          </cell>
          <cell r="F74">
            <v>2841956.43</v>
          </cell>
          <cell r="G74">
            <v>2826571.5900000003</v>
          </cell>
          <cell r="H74">
            <v>2826571.5900000003</v>
          </cell>
          <cell r="I74">
            <v>2818879.17</v>
          </cell>
          <cell r="J74">
            <v>2818879.17</v>
          </cell>
          <cell r="K74">
            <v>2984749.5700000003</v>
          </cell>
          <cell r="L74">
            <v>3253000.83</v>
          </cell>
          <cell r="M74">
            <v>3292405.39</v>
          </cell>
          <cell r="N74">
            <v>3733215.04</v>
          </cell>
        </row>
        <row r="81">
          <cell r="B81">
            <v>0</v>
          </cell>
          <cell r="C81">
            <v>0</v>
          </cell>
          <cell r="D81">
            <v>0</v>
          </cell>
          <cell r="E81">
            <v>0</v>
          </cell>
          <cell r="F81">
            <v>0</v>
          </cell>
          <cell r="G81">
            <v>0</v>
          </cell>
          <cell r="H81">
            <v>0</v>
          </cell>
          <cell r="I81">
            <v>0</v>
          </cell>
          <cell r="J81">
            <v>0</v>
          </cell>
          <cell r="M81">
            <v>0</v>
          </cell>
          <cell r="N81">
            <v>655200</v>
          </cell>
        </row>
        <row r="88">
          <cell r="N88">
            <v>1181626.1899999972</v>
          </cell>
        </row>
        <row r="100">
          <cell r="C100">
            <v>3510027.35</v>
          </cell>
          <cell r="D100">
            <v>3385774.8700000006</v>
          </cell>
          <cell r="E100">
            <v>3537728.0399999991</v>
          </cell>
          <cell r="F100">
            <v>3020379.4800000004</v>
          </cell>
          <cell r="G100">
            <v>3424119.4000000004</v>
          </cell>
          <cell r="H100">
            <v>3200159.9299999997</v>
          </cell>
          <cell r="I100">
            <v>3954751.3200000003</v>
          </cell>
          <cell r="J100">
            <v>4140121.6999999993</v>
          </cell>
          <cell r="K100">
            <v>4327157.1000000015</v>
          </cell>
          <cell r="L100">
            <v>4135560.0999999978</v>
          </cell>
          <cell r="M100">
            <v>4537328.1099999994</v>
          </cell>
          <cell r="N100">
            <v>3601829.1400000006</v>
          </cell>
        </row>
        <row r="109">
          <cell r="C109">
            <v>0</v>
          </cell>
          <cell r="D109">
            <v>-5839.49</v>
          </cell>
          <cell r="E109">
            <v>-3352.9699999999993</v>
          </cell>
          <cell r="F109">
            <v>14</v>
          </cell>
          <cell r="G109">
            <v>-3460.9900000000016</v>
          </cell>
          <cell r="H109">
            <v>-478.26999999999862</v>
          </cell>
          <cell r="I109">
            <v>-14</v>
          </cell>
          <cell r="J109">
            <v>-23395.65</v>
          </cell>
          <cell r="K109">
            <v>-2143.4099999999962</v>
          </cell>
          <cell r="L109">
            <v>0</v>
          </cell>
          <cell r="M109">
            <v>-2510.6600000000035</v>
          </cell>
          <cell r="N109">
            <v>-2179.7599999999948</v>
          </cell>
        </row>
        <row r="115">
          <cell r="C115">
            <v>1377217.5</v>
          </cell>
          <cell r="D115">
            <v>1327702.8900000001</v>
          </cell>
          <cell r="E115">
            <v>1402625.54</v>
          </cell>
          <cell r="F115">
            <v>1392491.8700000006</v>
          </cell>
          <cell r="G115">
            <v>1468248.3099999996</v>
          </cell>
          <cell r="H115">
            <v>1416345.7699999996</v>
          </cell>
          <cell r="I115">
            <v>1409700.5699999994</v>
          </cell>
          <cell r="J115">
            <v>1515989.370000001</v>
          </cell>
          <cell r="K115">
            <v>1506958.7000000011</v>
          </cell>
          <cell r="L115">
            <v>1588865.2399999984</v>
          </cell>
          <cell r="M115">
            <v>1523866.08</v>
          </cell>
          <cell r="N115">
            <v>1793265.3000000007</v>
          </cell>
        </row>
        <row r="118">
          <cell r="C118">
            <v>1231222.23</v>
          </cell>
          <cell r="D118">
            <v>1216919.9100000001</v>
          </cell>
          <cell r="E118">
            <v>1188126.2399999998</v>
          </cell>
          <cell r="F118">
            <v>1177530.2999999998</v>
          </cell>
          <cell r="G118">
            <v>1174263.2200000007</v>
          </cell>
          <cell r="H118">
            <v>1169488.4399999995</v>
          </cell>
          <cell r="I118">
            <v>1329637.9900000002</v>
          </cell>
          <cell r="J118">
            <v>1349107.6399999987</v>
          </cell>
          <cell r="K118">
            <v>1393009.5600000005</v>
          </cell>
          <cell r="L118">
            <v>1401450.3600000013</v>
          </cell>
          <cell r="M118">
            <v>1463225.629999999</v>
          </cell>
          <cell r="N118">
            <v>1459524.3800000008</v>
          </cell>
        </row>
        <row r="121">
          <cell r="C121">
            <v>824032.01</v>
          </cell>
          <cell r="D121">
            <v>682344.59000000008</v>
          </cell>
          <cell r="E121">
            <v>851422.96</v>
          </cell>
          <cell r="F121">
            <v>663409.27</v>
          </cell>
          <cell r="G121">
            <v>526908.9299999997</v>
          </cell>
          <cell r="H121">
            <v>732491.29999999981</v>
          </cell>
          <cell r="I121">
            <v>745566.68000000063</v>
          </cell>
          <cell r="J121">
            <v>815389.46</v>
          </cell>
          <cell r="K121">
            <v>907585.25</v>
          </cell>
          <cell r="L121">
            <v>1053135.7699999996</v>
          </cell>
          <cell r="M121">
            <v>1141525.9100000011</v>
          </cell>
          <cell r="N121">
            <v>1306711.1999999993</v>
          </cell>
        </row>
        <row r="122">
          <cell r="C122">
            <v>107731.02</v>
          </cell>
          <cell r="D122">
            <v>102210.58999999998</v>
          </cell>
          <cell r="E122">
            <v>119710.67000000004</v>
          </cell>
          <cell r="F122">
            <v>63901.51999999996</v>
          </cell>
          <cell r="G122">
            <v>71005.760000000009</v>
          </cell>
          <cell r="H122">
            <v>95200.43</v>
          </cell>
          <cell r="I122">
            <v>87822.760000000009</v>
          </cell>
          <cell r="J122">
            <v>86117.729999999981</v>
          </cell>
          <cell r="K122">
            <v>103690.41000000003</v>
          </cell>
          <cell r="L122">
            <v>120714.37</v>
          </cell>
          <cell r="M122">
            <v>128834.3899999999</v>
          </cell>
          <cell r="N122">
            <v>125821.72999999998</v>
          </cell>
        </row>
        <row r="123">
          <cell r="C123">
            <v>24809.759999999998</v>
          </cell>
          <cell r="D123">
            <v>29052.51</v>
          </cell>
          <cell r="E123">
            <v>26291.220000000008</v>
          </cell>
          <cell r="F123">
            <v>22846.36</v>
          </cell>
          <cell r="G123">
            <v>52640.419999999984</v>
          </cell>
          <cell r="H123">
            <v>26046.920000000013</v>
          </cell>
          <cell r="I123">
            <v>22499.03</v>
          </cell>
          <cell r="J123">
            <v>47176.040000000008</v>
          </cell>
          <cell r="K123">
            <v>20517.729999999981</v>
          </cell>
          <cell r="L123">
            <v>33540.919999999984</v>
          </cell>
          <cell r="M123">
            <v>32960.100000000035</v>
          </cell>
          <cell r="N123">
            <v>27934.099999999977</v>
          </cell>
        </row>
        <row r="124">
          <cell r="C124">
            <v>266186.70999999996</v>
          </cell>
          <cell r="D124">
            <v>229108.11000000004</v>
          </cell>
          <cell r="E124">
            <v>233906.15999999997</v>
          </cell>
          <cell r="F124">
            <v>215945.40000000002</v>
          </cell>
          <cell r="G124">
            <v>200994.12</v>
          </cell>
          <cell r="H124">
            <v>202717.90999999992</v>
          </cell>
          <cell r="I124">
            <v>202168.1399999999</v>
          </cell>
          <cell r="J124">
            <v>175979.07000000007</v>
          </cell>
          <cell r="K124">
            <v>182182.01</v>
          </cell>
          <cell r="L124">
            <v>199097.87000000058</v>
          </cell>
          <cell r="M124">
            <v>203351.65999999968</v>
          </cell>
          <cell r="N124">
            <v>376855.37999999989</v>
          </cell>
        </row>
        <row r="133">
          <cell r="C133">
            <v>489429.69</v>
          </cell>
          <cell r="D133">
            <v>209346.94</v>
          </cell>
          <cell r="E133">
            <v>502216.00000000012</v>
          </cell>
          <cell r="F133">
            <v>360079.01</v>
          </cell>
          <cell r="G133">
            <v>85653.299999999814</v>
          </cell>
          <cell r="H133">
            <v>2123676.7200000002</v>
          </cell>
          <cell r="I133">
            <v>696078.3599999994</v>
          </cell>
          <cell r="J133">
            <v>457737.74000000022</v>
          </cell>
          <cell r="K133">
            <v>282750.81000000052</v>
          </cell>
          <cell r="L133">
            <v>160001.25</v>
          </cell>
          <cell r="M133">
            <v>138911.72999999952</v>
          </cell>
          <cell r="N133">
            <v>488514.12000000011</v>
          </cell>
        </row>
        <row r="138">
          <cell r="C138">
            <v>221.27</v>
          </cell>
          <cell r="D138">
            <v>0</v>
          </cell>
          <cell r="E138">
            <v>0</v>
          </cell>
          <cell r="F138">
            <v>800</v>
          </cell>
          <cell r="G138">
            <v>0</v>
          </cell>
          <cell r="H138">
            <v>1495</v>
          </cell>
          <cell r="I138">
            <v>0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  <cell r="N138">
            <v>200</v>
          </cell>
        </row>
        <row r="141">
          <cell r="C141">
            <v>212506.56</v>
          </cell>
          <cell r="D141">
            <v>213196.93</v>
          </cell>
          <cell r="E141">
            <v>180265.58999999997</v>
          </cell>
          <cell r="F141">
            <v>165585.74</v>
          </cell>
          <cell r="G141">
            <v>180804.69000000006</v>
          </cell>
          <cell r="H141">
            <v>183851.99</v>
          </cell>
          <cell r="I141">
            <v>173244.95999999996</v>
          </cell>
          <cell r="J141">
            <v>193590.71999999997</v>
          </cell>
          <cell r="K141">
            <v>207756.91000000015</v>
          </cell>
          <cell r="L141">
            <v>229667.7899999998</v>
          </cell>
          <cell r="M141">
            <v>268088.66999999993</v>
          </cell>
          <cell r="N141">
            <v>653337.01000000024</v>
          </cell>
        </row>
        <row r="143">
          <cell r="C143">
            <v>5440.89</v>
          </cell>
          <cell r="D143">
            <v>50827.54</v>
          </cell>
          <cell r="E143">
            <v>6191.5899999999965</v>
          </cell>
          <cell r="F143">
            <v>5083.9800000000032</v>
          </cell>
          <cell r="G143">
            <v>4781.4400000000023</v>
          </cell>
          <cell r="H143">
            <v>4005.8099999999977</v>
          </cell>
          <cell r="I143">
            <v>11732.229999999996</v>
          </cell>
          <cell r="J143">
            <v>2516.9000000000087</v>
          </cell>
          <cell r="K143">
            <v>6592.2699999999895</v>
          </cell>
          <cell r="L143">
            <v>1898.9400000000023</v>
          </cell>
          <cell r="M143">
            <v>5262.1800000000076</v>
          </cell>
          <cell r="N143">
            <v>31446.960000000006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lan4"/>
      <sheetName val="Plan1"/>
      <sheetName val="Plan2"/>
      <sheetName val="Plan3"/>
    </sheetNames>
    <sheetDataSet>
      <sheetData sheetId="0"/>
      <sheetData sheetId="1"/>
      <sheetData sheetId="2">
        <row r="21">
          <cell r="F21">
            <v>4414989.5766599998</v>
          </cell>
        </row>
      </sheetData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planilha subvenções - jocelio"/>
      <sheetName val="subvenções balanço"/>
      <sheetName val="planilha empréstimos"/>
      <sheetName val="Plan1"/>
      <sheetName val="doações"/>
      <sheetName val="Plan2"/>
      <sheetName val="balanço e dre "/>
      <sheetName val="demonst de origens e recursos"/>
      <sheetName val="fluxo de caixa"/>
      <sheetName val="valor adicionado"/>
      <sheetName val="demost.de mutações do PL."/>
    </sheetNames>
    <sheetDataSet>
      <sheetData sheetId="0"/>
      <sheetData sheetId="1"/>
      <sheetData sheetId="2"/>
      <sheetData sheetId="3"/>
      <sheetData sheetId="4"/>
      <sheetData sheetId="5"/>
      <sheetData sheetId="6">
        <row r="7">
          <cell r="F7">
            <v>10585612.01</v>
          </cell>
        </row>
        <row r="34">
          <cell r="F34">
            <v>1779672.74</v>
          </cell>
          <cell r="H34">
            <v>733467.08000000007</v>
          </cell>
        </row>
        <row r="38">
          <cell r="F38">
            <v>75009.649999999994</v>
          </cell>
          <cell r="H38">
            <v>58315.54</v>
          </cell>
        </row>
        <row r="41">
          <cell r="F41">
            <v>23438940.48</v>
          </cell>
          <cell r="H41">
            <v>19834054.540000003</v>
          </cell>
        </row>
        <row r="58">
          <cell r="F58">
            <v>67150.100000000006</v>
          </cell>
          <cell r="H58">
            <v>67150.100000000006</v>
          </cell>
        </row>
        <row r="62">
          <cell r="F62">
            <v>-5459552.3799999999</v>
          </cell>
          <cell r="H62">
            <v>-4461548.42</v>
          </cell>
        </row>
        <row r="66">
          <cell r="A66" t="str">
            <v>Carazinho, 31 de dezembro de 2.020</v>
          </cell>
        </row>
        <row r="79">
          <cell r="F79">
            <v>17069662.460000001</v>
          </cell>
        </row>
        <row r="92">
          <cell r="F92">
            <v>10928825.59</v>
          </cell>
          <cell r="H92">
            <v>11073910.08</v>
          </cell>
        </row>
        <row r="97">
          <cell r="H97">
            <v>1306718.3600000001</v>
          </cell>
        </row>
        <row r="98">
          <cell r="H98">
            <v>851131.36999999394</v>
          </cell>
        </row>
        <row r="173">
          <cell r="F173">
            <v>44731575.339999996</v>
          </cell>
        </row>
        <row r="175">
          <cell r="F175">
            <v>17723277.140000001</v>
          </cell>
        </row>
        <row r="178">
          <cell r="F178">
            <v>15553505.9</v>
          </cell>
        </row>
        <row r="181">
          <cell r="F181">
            <v>10250523.33</v>
          </cell>
        </row>
        <row r="182">
          <cell r="F182">
            <v>1212761.3799999999</v>
          </cell>
        </row>
        <row r="183">
          <cell r="F183">
            <v>336315.11</v>
          </cell>
        </row>
        <row r="184">
          <cell r="F184">
            <v>2718492.54</v>
          </cell>
        </row>
        <row r="190">
          <cell r="F190">
            <v>11786</v>
          </cell>
        </row>
        <row r="194">
          <cell r="F194">
            <v>5994395.6700000009</v>
          </cell>
        </row>
        <row r="203">
          <cell r="F203">
            <v>2716.27</v>
          </cell>
        </row>
        <row r="206">
          <cell r="F206">
            <v>2861897.56</v>
          </cell>
        </row>
        <row r="208">
          <cell r="F208">
            <v>135780.73000000001</v>
          </cell>
        </row>
        <row r="209">
          <cell r="F209">
            <v>202262.50999999797</v>
          </cell>
        </row>
      </sheetData>
      <sheetData sheetId="7">
        <row r="11">
          <cell r="G11">
            <v>128232.31</v>
          </cell>
        </row>
        <row r="46">
          <cell r="A46" t="str">
            <v>Carazinho, 31 de dezembro de 2.020</v>
          </cell>
        </row>
      </sheetData>
      <sheetData sheetId="8">
        <row r="54">
          <cell r="A54" t="str">
            <v>Carazinho, 31 de dezembro de 2.020</v>
          </cell>
        </row>
      </sheetData>
      <sheetData sheetId="9">
        <row r="34">
          <cell r="A34" t="str">
            <v>Carazinho, 31 de dezembro de 2.020</v>
          </cell>
        </row>
      </sheetData>
      <sheetData sheetId="10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9F0EA-38DE-4FE9-BEB1-2B78F92005D8}">
  <dimension ref="A1:I217"/>
  <sheetViews>
    <sheetView tabSelected="1" workbookViewId="0">
      <selection sqref="A1:I217"/>
    </sheetView>
  </sheetViews>
  <sheetFormatPr defaultRowHeight="15" x14ac:dyDescent="0.25"/>
  <cols>
    <col min="6" max="6" width="15.7109375" bestFit="1" customWidth="1"/>
    <col min="7" max="7" width="7.7109375" bestFit="1" customWidth="1"/>
    <col min="8" max="8" width="15.7109375" bestFit="1" customWidth="1"/>
    <col min="9" max="9" width="7.7109375" bestFit="1" customWidth="1"/>
  </cols>
  <sheetData>
    <row r="1" spans="1:9" ht="18" x14ac:dyDescent="0.25">
      <c r="A1" s="78" t="s">
        <v>0</v>
      </c>
      <c r="B1" s="78"/>
      <c r="C1" s="78"/>
      <c r="D1" s="78"/>
      <c r="E1" s="78"/>
      <c r="F1" s="78"/>
      <c r="G1" s="78"/>
      <c r="H1" s="78"/>
      <c r="I1" s="78"/>
    </row>
    <row r="2" spans="1:9" x14ac:dyDescent="0.25">
      <c r="A2" s="79" t="s">
        <v>1</v>
      </c>
      <c r="B2" s="79"/>
      <c r="C2" s="79"/>
      <c r="D2" s="79"/>
      <c r="E2" s="79"/>
      <c r="F2" s="79"/>
      <c r="G2" s="79"/>
      <c r="H2" s="79"/>
      <c r="I2" s="79"/>
    </row>
    <row r="3" spans="1:9" x14ac:dyDescent="0.25">
      <c r="A3" s="2"/>
      <c r="B3" s="2"/>
      <c r="C3" s="2"/>
      <c r="D3" s="2"/>
      <c r="E3" s="2"/>
      <c r="F3" s="2"/>
      <c r="G3" s="2"/>
      <c r="H3" s="2"/>
      <c r="I3" s="2"/>
    </row>
    <row r="4" spans="1:9" ht="15.75" x14ac:dyDescent="0.25">
      <c r="A4" s="75" t="s">
        <v>2</v>
      </c>
      <c r="B4" s="75"/>
      <c r="C4" s="75"/>
      <c r="D4" s="75"/>
      <c r="E4" s="75"/>
      <c r="F4" s="75"/>
      <c r="G4" s="75"/>
      <c r="H4" s="75"/>
      <c r="I4" s="75"/>
    </row>
    <row r="5" spans="1:9" ht="15.75" x14ac:dyDescent="0.25">
      <c r="A5" s="3"/>
      <c r="B5" s="3"/>
      <c r="C5" s="3"/>
      <c r="D5" s="3"/>
      <c r="E5" s="3"/>
      <c r="F5" s="3"/>
      <c r="G5" s="3"/>
      <c r="H5" s="3"/>
      <c r="I5" s="3"/>
    </row>
    <row r="6" spans="1:9" x14ac:dyDescent="0.25">
      <c r="A6" s="80" t="s">
        <v>3</v>
      </c>
      <c r="B6" s="80"/>
      <c r="C6" s="80"/>
      <c r="D6" s="80"/>
      <c r="E6" s="80"/>
      <c r="F6" s="5">
        <v>44196</v>
      </c>
      <c r="G6" s="6" t="s">
        <v>4</v>
      </c>
      <c r="H6" s="5">
        <v>43830</v>
      </c>
      <c r="I6" s="6" t="s">
        <v>4</v>
      </c>
    </row>
    <row r="7" spans="1:9" ht="19.5" x14ac:dyDescent="0.55000000000000004">
      <c r="A7" s="7" t="s">
        <v>5</v>
      </c>
      <c r="B7" s="7"/>
      <c r="C7" s="7"/>
      <c r="D7" s="7"/>
      <c r="E7" s="4"/>
      <c r="F7" s="8">
        <f>SUM(F8,F13,F23)+F31</f>
        <v>10585612.01</v>
      </c>
      <c r="G7" s="6">
        <f>F7/F63*100</f>
        <v>34.72191469965955</v>
      </c>
      <c r="H7" s="8">
        <f>SUM(H8,H13,H23)+H31</f>
        <v>13323478.149999997</v>
      </c>
      <c r="I7" s="6">
        <f>H7/H63*100</f>
        <v>45.080411339027059</v>
      </c>
    </row>
    <row r="8" spans="1:9" x14ac:dyDescent="0.25">
      <c r="A8" s="9"/>
      <c r="B8" s="9" t="s">
        <v>6</v>
      </c>
      <c r="C8" s="9"/>
      <c r="D8" s="9"/>
      <c r="E8" s="10"/>
      <c r="F8" s="9">
        <f>F9+F10+F12+F11</f>
        <v>4765590.51</v>
      </c>
      <c r="G8" s="11">
        <f>F8/F63*100</f>
        <v>15.631635376906946</v>
      </c>
      <c r="H8" s="9">
        <f>H9+H10+H12+H11</f>
        <v>2702359.29</v>
      </c>
      <c r="I8" s="11">
        <f>H8/H63*100</f>
        <v>9.1435184572311652</v>
      </c>
    </row>
    <row r="9" spans="1:9" x14ac:dyDescent="0.25">
      <c r="A9" s="12"/>
      <c r="B9" s="12"/>
      <c r="C9" s="12" t="s">
        <v>7</v>
      </c>
      <c r="D9" s="12"/>
      <c r="E9" s="2"/>
      <c r="F9" s="13">
        <v>108179.53</v>
      </c>
      <c r="G9" s="12"/>
      <c r="H9" s="13">
        <v>100534.39</v>
      </c>
      <c r="I9" s="12"/>
    </row>
    <row r="10" spans="1:9" x14ac:dyDescent="0.25">
      <c r="A10" s="12"/>
      <c r="B10" s="12"/>
      <c r="C10" s="12" t="s">
        <v>8</v>
      </c>
      <c r="D10" s="12"/>
      <c r="E10" s="2"/>
      <c r="F10" s="13">
        <f>1585964.86-753370</f>
        <v>832594.8600000001</v>
      </c>
      <c r="G10" s="12"/>
      <c r="H10" s="13">
        <f>1056820.38-750670</f>
        <v>306150.37999999989</v>
      </c>
      <c r="I10" s="12"/>
    </row>
    <row r="11" spans="1:9" x14ac:dyDescent="0.25">
      <c r="A11" s="12"/>
      <c r="B11" s="12"/>
      <c r="C11" s="12" t="s">
        <v>9</v>
      </c>
      <c r="D11" s="12"/>
      <c r="E11" s="2"/>
      <c r="F11" s="13">
        <v>753370</v>
      </c>
      <c r="G11" s="12"/>
      <c r="H11" s="13">
        <v>750670</v>
      </c>
      <c r="I11" s="12"/>
    </row>
    <row r="12" spans="1:9" x14ac:dyDescent="0.25">
      <c r="A12" s="12"/>
      <c r="B12" s="12"/>
      <c r="C12" s="12" t="s">
        <v>10</v>
      </c>
      <c r="D12" s="12"/>
      <c r="E12" s="2"/>
      <c r="F12" s="13">
        <v>3071446.12</v>
      </c>
      <c r="G12" s="12"/>
      <c r="H12" s="13">
        <v>1545004.52</v>
      </c>
      <c r="I12" s="12"/>
    </row>
    <row r="13" spans="1:9" x14ac:dyDescent="0.25">
      <c r="A13" s="14"/>
      <c r="B13" s="14" t="s">
        <v>11</v>
      </c>
      <c r="C13" s="14"/>
      <c r="D13" s="14"/>
      <c r="E13" s="15"/>
      <c r="F13" s="9">
        <f>SUM(F14:F22)</f>
        <v>4547974.58</v>
      </c>
      <c r="G13" s="6">
        <f>F13/F63*100</f>
        <v>14.91783236281489</v>
      </c>
      <c r="H13" s="9">
        <f>SUM(H14:H22)</f>
        <v>9524703.4599999972</v>
      </c>
      <c r="I13" s="6">
        <f>H13/H63*100</f>
        <v>32.227136564865702</v>
      </c>
    </row>
    <row r="14" spans="1:9" x14ac:dyDescent="0.25">
      <c r="A14" s="12"/>
      <c r="B14" s="12"/>
      <c r="C14" s="12" t="s">
        <v>12</v>
      </c>
      <c r="D14" s="12"/>
      <c r="E14" s="2"/>
      <c r="F14" s="13">
        <v>438216.68</v>
      </c>
      <c r="G14" s="12"/>
      <c r="H14" s="13">
        <v>462394.23</v>
      </c>
      <c r="I14" s="12"/>
    </row>
    <row r="15" spans="1:9" x14ac:dyDescent="0.25">
      <c r="A15" s="12"/>
      <c r="B15" s="12"/>
      <c r="C15" s="12" t="s">
        <v>13</v>
      </c>
      <c r="D15" s="12"/>
      <c r="E15" s="2"/>
      <c r="F15" s="13">
        <v>60773.35</v>
      </c>
      <c r="G15" s="12"/>
      <c r="H15" s="13">
        <v>64000.35</v>
      </c>
      <c r="I15" s="12"/>
    </row>
    <row r="16" spans="1:9" x14ac:dyDescent="0.25">
      <c r="A16" s="12"/>
      <c r="B16" s="12"/>
      <c r="C16" s="12" t="s">
        <v>14</v>
      </c>
      <c r="D16" s="12"/>
      <c r="E16" s="2"/>
      <c r="F16" s="13">
        <v>22381.38</v>
      </c>
      <c r="G16" s="12"/>
      <c r="H16" s="13">
        <v>15074.1</v>
      </c>
      <c r="I16" s="12"/>
    </row>
    <row r="17" spans="1:9" x14ac:dyDescent="0.25">
      <c r="A17" s="12"/>
      <c r="B17" s="12"/>
      <c r="C17" s="12" t="s">
        <v>15</v>
      </c>
      <c r="D17" s="12"/>
      <c r="E17" s="2"/>
      <c r="F17" s="13">
        <f>3671439.61-438216.68-60773.35-1414861.63</f>
        <v>1757587.9499999997</v>
      </c>
      <c r="G17" s="12"/>
      <c r="H17" s="13">
        <f>2473854.19-64000.35</f>
        <v>2409853.84</v>
      </c>
      <c r="I17" s="12"/>
    </row>
    <row r="18" spans="1:9" x14ac:dyDescent="0.25">
      <c r="A18" s="12"/>
      <c r="B18" s="12"/>
      <c r="C18" s="12" t="s">
        <v>16</v>
      </c>
      <c r="D18" s="12"/>
      <c r="E18" s="2"/>
      <c r="F18" s="13">
        <v>1414861.63</v>
      </c>
      <c r="G18" s="12"/>
      <c r="H18" s="13">
        <v>3992099.53</v>
      </c>
      <c r="I18" s="12"/>
    </row>
    <row r="19" spans="1:9" x14ac:dyDescent="0.25">
      <c r="A19" s="12"/>
      <c r="B19" s="12"/>
      <c r="C19" s="12" t="s">
        <v>17</v>
      </c>
      <c r="D19" s="12"/>
      <c r="E19" s="2"/>
      <c r="F19" s="13">
        <v>824821.18</v>
      </c>
      <c r="G19" s="12"/>
      <c r="H19" s="13">
        <v>1980591.62</v>
      </c>
      <c r="I19" s="12"/>
    </row>
    <row r="20" spans="1:9" x14ac:dyDescent="0.25">
      <c r="A20" s="12"/>
      <c r="B20" s="12"/>
      <c r="C20" s="12" t="s">
        <v>18</v>
      </c>
      <c r="D20" s="12"/>
      <c r="E20" s="2"/>
      <c r="F20" s="13">
        <v>15904.95</v>
      </c>
      <c r="G20" s="12"/>
      <c r="H20" s="13">
        <v>573813.02</v>
      </c>
      <c r="I20" s="12"/>
    </row>
    <row r="21" spans="1:9" x14ac:dyDescent="0.25">
      <c r="A21" s="12"/>
      <c r="B21" s="12"/>
      <c r="C21" s="12" t="s">
        <v>19</v>
      </c>
      <c r="D21" s="12"/>
      <c r="E21" s="2"/>
      <c r="F21" s="13">
        <v>0</v>
      </c>
      <c r="G21" s="12"/>
      <c r="H21" s="13">
        <v>0</v>
      </c>
      <c r="I21" s="12"/>
    </row>
    <row r="22" spans="1:9" x14ac:dyDescent="0.25">
      <c r="A22" s="12"/>
      <c r="B22" s="12"/>
      <c r="C22" s="12" t="s">
        <v>20</v>
      </c>
      <c r="D22" s="12"/>
      <c r="E22" s="2"/>
      <c r="F22" s="13">
        <f>13427.46</f>
        <v>13427.46</v>
      </c>
      <c r="G22" s="12"/>
      <c r="H22" s="13">
        <v>26876.77</v>
      </c>
      <c r="I22" s="12"/>
    </row>
    <row r="23" spans="1:9" x14ac:dyDescent="0.25">
      <c r="A23" s="14"/>
      <c r="B23" s="14" t="s">
        <v>21</v>
      </c>
      <c r="C23" s="14"/>
      <c r="D23" s="14"/>
      <c r="E23" s="15"/>
      <c r="F23" s="9">
        <f>SUM(F24:F30)</f>
        <v>1141017.3600000001</v>
      </c>
      <c r="G23" s="6">
        <f>F23/F63*100</f>
        <v>3.742656296804018</v>
      </c>
      <c r="H23" s="9">
        <f>SUM(H24:H30)</f>
        <v>1096415.3999999999</v>
      </c>
      <c r="I23" s="6">
        <f>H23/H63*100</f>
        <v>3.7097563169301928</v>
      </c>
    </row>
    <row r="24" spans="1:9" x14ac:dyDescent="0.25">
      <c r="A24" s="12"/>
      <c r="B24" s="12"/>
      <c r="C24" s="12" t="s">
        <v>22</v>
      </c>
      <c r="D24" s="12"/>
      <c r="E24" s="2"/>
      <c r="F24" s="13">
        <v>901899.36</v>
      </c>
      <c r="G24" s="12"/>
      <c r="H24" s="13">
        <v>923414.94</v>
      </c>
      <c r="I24" s="12"/>
    </row>
    <row r="25" spans="1:9" x14ac:dyDescent="0.25">
      <c r="A25" s="12"/>
      <c r="B25" s="12"/>
      <c r="C25" s="12" t="s">
        <v>23</v>
      </c>
      <c r="D25" s="12"/>
      <c r="E25" s="2"/>
      <c r="F25" s="13">
        <v>55718.66</v>
      </c>
      <c r="G25" s="12"/>
      <c r="H25" s="13">
        <v>47463.91</v>
      </c>
      <c r="I25" s="12"/>
    </row>
    <row r="26" spans="1:9" x14ac:dyDescent="0.25">
      <c r="A26" s="12"/>
      <c r="B26" s="12"/>
      <c r="C26" s="12" t="s">
        <v>24</v>
      </c>
      <c r="D26" s="12"/>
      <c r="E26" s="2"/>
      <c r="F26" s="13">
        <v>61980</v>
      </c>
      <c r="G26" s="12"/>
      <c r="H26" s="13">
        <v>33827.120000000003</v>
      </c>
      <c r="I26" s="12"/>
    </row>
    <row r="27" spans="1:9" x14ac:dyDescent="0.25">
      <c r="A27" s="12"/>
      <c r="B27" s="12"/>
      <c r="C27" s="12" t="s">
        <v>25</v>
      </c>
      <c r="D27" s="12"/>
      <c r="E27" s="2"/>
      <c r="F27" s="13">
        <v>4078.82</v>
      </c>
      <c r="G27" s="12"/>
      <c r="H27" s="13">
        <v>9632.5499999999993</v>
      </c>
      <c r="I27" s="12"/>
    </row>
    <row r="28" spans="1:9" x14ac:dyDescent="0.25">
      <c r="A28" s="12"/>
      <c r="B28" s="12"/>
      <c r="C28" s="12" t="s">
        <v>26</v>
      </c>
      <c r="D28" s="12"/>
      <c r="E28" s="2"/>
      <c r="F28" s="13">
        <v>13723.78</v>
      </c>
      <c r="G28" s="12"/>
      <c r="H28" s="13">
        <v>16355.64</v>
      </c>
      <c r="I28" s="12"/>
    </row>
    <row r="29" spans="1:9" x14ac:dyDescent="0.25">
      <c r="A29" s="12"/>
      <c r="B29" s="12"/>
      <c r="C29" s="12" t="s">
        <v>27</v>
      </c>
      <c r="D29" s="12"/>
      <c r="E29" s="2"/>
      <c r="F29" s="13">
        <v>22770.959999999999</v>
      </c>
      <c r="G29" s="12"/>
      <c r="H29" s="13">
        <v>16789.48</v>
      </c>
      <c r="I29" s="12"/>
    </row>
    <row r="30" spans="1:9" x14ac:dyDescent="0.25">
      <c r="A30" s="12"/>
      <c r="B30" s="12"/>
      <c r="C30" s="12" t="s">
        <v>28</v>
      </c>
      <c r="D30" s="12"/>
      <c r="E30" s="2"/>
      <c r="F30" s="13">
        <v>80845.78</v>
      </c>
      <c r="G30" s="12"/>
      <c r="H30" s="13">
        <v>48931.76</v>
      </c>
      <c r="I30" s="12"/>
    </row>
    <row r="31" spans="1:9" x14ac:dyDescent="0.25">
      <c r="A31" s="12"/>
      <c r="B31" s="14" t="s">
        <v>29</v>
      </c>
      <c r="C31" s="12"/>
      <c r="D31" s="12"/>
      <c r="E31" s="2"/>
      <c r="F31" s="9">
        <f>F32</f>
        <v>131029.56</v>
      </c>
      <c r="G31" s="12"/>
      <c r="H31" s="9">
        <f>H32</f>
        <v>0</v>
      </c>
      <c r="I31" s="12"/>
    </row>
    <row r="32" spans="1:9" x14ac:dyDescent="0.25">
      <c r="A32" s="12"/>
      <c r="B32" s="14"/>
      <c r="C32" s="12" t="s">
        <v>30</v>
      </c>
      <c r="D32" s="12"/>
      <c r="E32" s="2"/>
      <c r="F32" s="13">
        <v>131029.56</v>
      </c>
      <c r="G32" s="12"/>
      <c r="H32" s="13">
        <v>0</v>
      </c>
      <c r="I32" s="12"/>
    </row>
    <row r="33" spans="1:9" ht="19.5" x14ac:dyDescent="0.55000000000000004">
      <c r="A33" s="7" t="s">
        <v>31</v>
      </c>
      <c r="B33" s="7"/>
      <c r="C33" s="7"/>
      <c r="D33" s="7"/>
      <c r="E33" s="4"/>
      <c r="F33" s="16">
        <f>F34+F38+F41+F58+F62</f>
        <v>19901220.590000004</v>
      </c>
      <c r="G33" s="6">
        <f>F33/F63*100</f>
        <v>65.278085300340464</v>
      </c>
      <c r="H33" s="16">
        <f>H34+H38+H41+H58+H62</f>
        <v>16231438.840000005</v>
      </c>
      <c r="I33" s="6">
        <f>H33/H63*100</f>
        <v>54.919588660972941</v>
      </c>
    </row>
    <row r="34" spans="1:9" ht="19.5" x14ac:dyDescent="0.55000000000000004">
      <c r="A34" s="7"/>
      <c r="B34" s="14" t="s">
        <v>32</v>
      </c>
      <c r="C34" s="7"/>
      <c r="D34" s="7"/>
      <c r="E34" s="4"/>
      <c r="F34" s="16">
        <f>F36+F37+F35</f>
        <v>1779672.74</v>
      </c>
      <c r="G34" s="6"/>
      <c r="H34" s="16">
        <f>H36+H37+H35</f>
        <v>733467.08000000007</v>
      </c>
      <c r="I34" s="6"/>
    </row>
    <row r="35" spans="1:9" x14ac:dyDescent="0.25">
      <c r="A35" s="12"/>
      <c r="B35" s="12"/>
      <c r="C35" s="12" t="s">
        <v>33</v>
      </c>
      <c r="D35" s="12"/>
      <c r="E35" s="2"/>
      <c r="F35" s="13">
        <v>0</v>
      </c>
      <c r="G35" s="12"/>
      <c r="H35" s="13">
        <v>2031.92</v>
      </c>
      <c r="I35" s="12"/>
    </row>
    <row r="36" spans="1:9" x14ac:dyDescent="0.25">
      <c r="A36" s="12"/>
      <c r="B36" s="12"/>
      <c r="C36" s="12" t="s">
        <v>34</v>
      </c>
      <c r="D36" s="12"/>
      <c r="E36" s="2"/>
      <c r="F36" s="13">
        <v>731435.16</v>
      </c>
      <c r="G36" s="12"/>
      <c r="H36" s="13">
        <v>731435.16</v>
      </c>
      <c r="I36" s="12"/>
    </row>
    <row r="37" spans="1:9" x14ac:dyDescent="0.25">
      <c r="A37" s="12"/>
      <c r="B37" s="12"/>
      <c r="C37" s="12" t="s">
        <v>35</v>
      </c>
      <c r="D37" s="12"/>
      <c r="E37" s="2"/>
      <c r="F37" s="13">
        <v>1048237.58</v>
      </c>
      <c r="G37" s="12"/>
      <c r="H37" s="13">
        <v>0</v>
      </c>
      <c r="I37" s="12"/>
    </row>
    <row r="38" spans="1:9" x14ac:dyDescent="0.25">
      <c r="A38" s="14"/>
      <c r="B38" s="14" t="s">
        <v>36</v>
      </c>
      <c r="C38" s="14"/>
      <c r="D38" s="14"/>
      <c r="E38" s="15"/>
      <c r="F38" s="9">
        <f>SUM(F39:F40)</f>
        <v>75009.649999999994</v>
      </c>
      <c r="G38" s="12"/>
      <c r="H38" s="9">
        <f>SUM(H39:H40)</f>
        <v>58315.54</v>
      </c>
      <c r="I38" s="12"/>
    </row>
    <row r="39" spans="1:9" x14ac:dyDescent="0.25">
      <c r="A39" s="12"/>
      <c r="B39" s="12"/>
      <c r="C39" s="12" t="s">
        <v>37</v>
      </c>
      <c r="D39" s="12"/>
      <c r="E39" s="2"/>
      <c r="F39" s="13">
        <v>1142.04</v>
      </c>
      <c r="G39" s="12"/>
      <c r="H39" s="13">
        <v>1142.04</v>
      </c>
      <c r="I39" s="12"/>
    </row>
    <row r="40" spans="1:9" x14ac:dyDescent="0.25">
      <c r="A40" s="12"/>
      <c r="B40" s="12"/>
      <c r="C40" s="12" t="s">
        <v>38</v>
      </c>
      <c r="D40" s="12"/>
      <c r="E40" s="2"/>
      <c r="F40" s="13">
        <v>73867.61</v>
      </c>
      <c r="G40" s="12"/>
      <c r="H40" s="13">
        <v>57173.5</v>
      </c>
      <c r="I40" s="12"/>
    </row>
    <row r="41" spans="1:9" x14ac:dyDescent="0.25">
      <c r="A41" s="14"/>
      <c r="B41" s="14" t="s">
        <v>39</v>
      </c>
      <c r="C41" s="14"/>
      <c r="D41" s="14"/>
      <c r="E41" s="17"/>
      <c r="F41" s="9">
        <f>SUM(F42:F57)</f>
        <v>23438940.48</v>
      </c>
      <c r="G41" s="6">
        <f>F41/F63*100</f>
        <v>76.882176602367011</v>
      </c>
      <c r="H41" s="9">
        <f>SUM(H42:H57)</f>
        <v>19834054.540000003</v>
      </c>
      <c r="I41" s="6">
        <f>H41/H63*100</f>
        <v>67.109153264449759</v>
      </c>
    </row>
    <row r="42" spans="1:9" x14ac:dyDescent="0.25">
      <c r="A42" s="12"/>
      <c r="B42" s="12"/>
      <c r="C42" s="12" t="s">
        <v>40</v>
      </c>
      <c r="D42" s="12"/>
      <c r="E42" s="2"/>
      <c r="F42" s="13">
        <v>592000</v>
      </c>
      <c r="G42" s="12"/>
      <c r="H42" s="13">
        <v>592000</v>
      </c>
      <c r="I42" s="12"/>
    </row>
    <row r="43" spans="1:9" x14ac:dyDescent="0.25">
      <c r="A43" s="12"/>
      <c r="B43" s="12"/>
      <c r="C43" s="12" t="s">
        <v>41</v>
      </c>
      <c r="D43" s="12"/>
      <c r="E43" s="2"/>
      <c r="F43" s="13">
        <f>2956841.79+1354273.56+46422.19+215449.64+490417.41+12987+957627.93+1043810.58+808428.95</f>
        <v>7886259.0499999998</v>
      </c>
      <c r="G43" s="12"/>
      <c r="H43" s="13">
        <f>2956841.79+1354273.56+46422.19+215449.64+490417.41+12987+957627.93+608708.27+808428.95</f>
        <v>7451156.7399999993</v>
      </c>
      <c r="I43" s="12"/>
    </row>
    <row r="44" spans="1:9" x14ac:dyDescent="0.25">
      <c r="A44" s="12"/>
      <c r="B44" s="12"/>
      <c r="C44" s="12" t="s">
        <v>42</v>
      </c>
      <c r="D44" s="12"/>
      <c r="E44" s="2"/>
      <c r="F44" s="13">
        <f>104031.13+29477.54+3116096.66+43690+93897.69+14010+257703.06+213226.79+19492.62+96802.26+21329.1+14405.58</f>
        <v>4024162.43</v>
      </c>
      <c r="G44" s="12"/>
      <c r="H44" s="13">
        <f>104031.13+28957.54+2689265.54+43690+93897.69+14010+257703.06+213226.79+19492.62+96802.26+21329.1+14405.58</f>
        <v>3596811.31</v>
      </c>
      <c r="I44" s="12"/>
    </row>
    <row r="45" spans="1:9" x14ac:dyDescent="0.25">
      <c r="A45" s="12"/>
      <c r="B45" s="12"/>
      <c r="C45" s="12" t="s">
        <v>43</v>
      </c>
      <c r="D45" s="12"/>
      <c r="E45" s="2"/>
      <c r="F45" s="13">
        <f>2846132.19+58748.04+44505.21+8549.84+18216.11+219665.86+52032.37+57221.09+1171373.16+1655017.5+1214976.27+7.81+81765.52</f>
        <v>7428210.9699999979</v>
      </c>
      <c r="G45" s="18"/>
      <c r="H45" s="13">
        <f>1733827.2+58748.04+44505.21+8549.84+18216.11+219665.86+52032.37+51364.95+501412.47+1336705.97+1214976.27+7.81+81765.52</f>
        <v>5321777.62</v>
      </c>
      <c r="I45" s="18"/>
    </row>
    <row r="46" spans="1:9" x14ac:dyDescent="0.25">
      <c r="A46" s="12"/>
      <c r="B46" s="12"/>
      <c r="C46" s="12" t="s">
        <v>44</v>
      </c>
      <c r="D46" s="12"/>
      <c r="E46" s="2"/>
      <c r="F46" s="13">
        <v>438230.96</v>
      </c>
      <c r="G46" s="12"/>
      <c r="H46" s="13">
        <v>438230.96</v>
      </c>
      <c r="I46" s="12"/>
    </row>
    <row r="47" spans="1:9" x14ac:dyDescent="0.25">
      <c r="A47" s="12"/>
      <c r="B47" s="12"/>
      <c r="C47" s="12" t="s">
        <v>45</v>
      </c>
      <c r="D47" s="12"/>
      <c r="E47" s="2"/>
      <c r="F47" s="13">
        <f>1159105.06+62656.64+20661+140654.79+9337.5</f>
        <v>1392414.99</v>
      </c>
      <c r="G47" s="12"/>
      <c r="H47" s="13">
        <v>1192514.44</v>
      </c>
      <c r="I47" s="12"/>
    </row>
    <row r="48" spans="1:9" x14ac:dyDescent="0.25">
      <c r="A48" s="12"/>
      <c r="B48" s="12"/>
      <c r="C48" s="12" t="s">
        <v>46</v>
      </c>
      <c r="D48" s="12"/>
      <c r="E48" s="2"/>
      <c r="F48" s="13">
        <v>748757.91</v>
      </c>
      <c r="G48" s="12"/>
      <c r="H48" s="13">
        <v>606350.5</v>
      </c>
      <c r="I48" s="12"/>
    </row>
    <row r="49" spans="1:9" x14ac:dyDescent="0.25">
      <c r="A49" s="12"/>
      <c r="B49" s="12"/>
      <c r="C49" s="12" t="s">
        <v>47</v>
      </c>
      <c r="D49" s="12"/>
      <c r="E49" s="2"/>
      <c r="F49" s="13">
        <v>1868.44</v>
      </c>
      <c r="G49" s="12"/>
      <c r="H49" s="13">
        <v>1868.44</v>
      </c>
      <c r="I49" s="12"/>
    </row>
    <row r="50" spans="1:9" x14ac:dyDescent="0.25">
      <c r="A50" s="12"/>
      <c r="B50" s="12"/>
      <c r="C50" s="12" t="s">
        <v>48</v>
      </c>
      <c r="D50" s="12"/>
      <c r="E50" s="2"/>
      <c r="F50" s="13">
        <v>1780</v>
      </c>
      <c r="G50" s="12"/>
      <c r="H50" s="13">
        <v>1780</v>
      </c>
      <c r="I50" s="12"/>
    </row>
    <row r="51" spans="1:9" x14ac:dyDescent="0.25">
      <c r="A51" s="12"/>
      <c r="B51" s="12"/>
      <c r="C51" s="12" t="s">
        <v>49</v>
      </c>
      <c r="D51" s="12"/>
      <c r="E51" s="2"/>
      <c r="F51" s="13">
        <v>133883.85999999999</v>
      </c>
      <c r="G51" s="12"/>
      <c r="H51" s="13">
        <v>133883.85999999999</v>
      </c>
      <c r="I51" s="12"/>
    </row>
    <row r="52" spans="1:9" x14ac:dyDescent="0.25">
      <c r="A52" s="12"/>
      <c r="B52" s="12"/>
      <c r="C52" s="12" t="s">
        <v>50</v>
      </c>
      <c r="D52" s="12"/>
      <c r="E52" s="2"/>
      <c r="F52" s="13">
        <v>26202</v>
      </c>
      <c r="G52" s="12"/>
      <c r="H52" s="13">
        <v>26202</v>
      </c>
      <c r="I52" s="12"/>
    </row>
    <row r="53" spans="1:9" x14ac:dyDescent="0.25">
      <c r="A53" s="12"/>
      <c r="B53" s="12"/>
      <c r="C53" s="12" t="s">
        <v>51</v>
      </c>
      <c r="D53" s="12"/>
      <c r="E53" s="2"/>
      <c r="F53" s="19">
        <v>205325.82</v>
      </c>
      <c r="G53" s="12"/>
      <c r="H53" s="19">
        <v>205325.82</v>
      </c>
      <c r="I53" s="12"/>
    </row>
    <row r="54" spans="1:9" x14ac:dyDescent="0.25">
      <c r="A54" s="12"/>
      <c r="B54" s="12"/>
      <c r="C54" s="12" t="s">
        <v>52</v>
      </c>
      <c r="D54" s="12"/>
      <c r="E54" s="2"/>
      <c r="F54" s="13">
        <v>510990.73</v>
      </c>
      <c r="G54" s="12"/>
      <c r="H54" s="13">
        <v>168420</v>
      </c>
      <c r="I54" s="12"/>
    </row>
    <row r="55" spans="1:9" x14ac:dyDescent="0.25">
      <c r="A55" s="12"/>
      <c r="B55" s="12"/>
      <c r="C55" s="12" t="s">
        <v>53</v>
      </c>
      <c r="D55" s="12"/>
      <c r="E55" s="2"/>
      <c r="F55" s="13">
        <v>39653.32</v>
      </c>
      <c r="G55" s="12"/>
      <c r="H55" s="13">
        <v>39653.32</v>
      </c>
      <c r="I55" s="12"/>
    </row>
    <row r="56" spans="1:9" x14ac:dyDescent="0.25">
      <c r="A56" s="12"/>
      <c r="B56" s="12"/>
      <c r="C56" s="12" t="s">
        <v>54</v>
      </c>
      <c r="D56" s="12"/>
      <c r="E56" s="2"/>
      <c r="F56" s="13">
        <v>0</v>
      </c>
      <c r="G56" s="12"/>
      <c r="H56" s="13">
        <v>48879.53</v>
      </c>
      <c r="I56" s="12"/>
    </row>
    <row r="57" spans="1:9" x14ac:dyDescent="0.25">
      <c r="A57" s="12"/>
      <c r="B57" s="12"/>
      <c r="C57" s="12" t="s">
        <v>55</v>
      </c>
      <c r="D57" s="12"/>
      <c r="E57" s="2"/>
      <c r="F57" s="13">
        <v>9200</v>
      </c>
      <c r="G57" s="12"/>
      <c r="H57" s="13">
        <v>9200</v>
      </c>
      <c r="I57" s="12"/>
    </row>
    <row r="58" spans="1:9" x14ac:dyDescent="0.25">
      <c r="A58" s="14"/>
      <c r="B58" s="14" t="s">
        <v>56</v>
      </c>
      <c r="C58" s="14"/>
      <c r="D58" s="14"/>
      <c r="E58" s="15"/>
      <c r="F58" s="9">
        <f>SUM(F59:F61)</f>
        <v>67150.100000000006</v>
      </c>
      <c r="G58" s="6">
        <f>F58/F63*100</f>
        <v>0.22025935222932932</v>
      </c>
      <c r="H58" s="9">
        <f>SUM(H59:H61)</f>
        <v>67150.100000000006</v>
      </c>
      <c r="I58" s="6">
        <f>H58/H63*100</f>
        <v>0.22720449535595194</v>
      </c>
    </row>
    <row r="59" spans="1:9" x14ac:dyDescent="0.25">
      <c r="A59" s="12"/>
      <c r="B59" s="12"/>
      <c r="C59" s="12" t="s">
        <v>57</v>
      </c>
      <c r="D59" s="12"/>
      <c r="E59" s="2"/>
      <c r="F59" s="13">
        <v>62500</v>
      </c>
      <c r="G59" s="12"/>
      <c r="H59" s="13">
        <v>62500</v>
      </c>
      <c r="I59" s="12"/>
    </row>
    <row r="60" spans="1:9" x14ac:dyDescent="0.25">
      <c r="A60" s="12"/>
      <c r="B60" s="12"/>
      <c r="C60" s="12" t="s">
        <v>42</v>
      </c>
      <c r="D60" s="12"/>
      <c r="E60" s="2"/>
      <c r="F60" s="13">
        <f>639.2+2885.9</f>
        <v>3525.1000000000004</v>
      </c>
      <c r="G60" s="12"/>
      <c r="H60" s="13">
        <f>639.2+2885.9</f>
        <v>3525.1000000000004</v>
      </c>
      <c r="I60" s="12"/>
    </row>
    <row r="61" spans="1:9" x14ac:dyDescent="0.25">
      <c r="A61" s="12"/>
      <c r="B61" s="12"/>
      <c r="C61" s="12" t="s">
        <v>45</v>
      </c>
      <c r="D61" s="12"/>
      <c r="E61" s="2"/>
      <c r="F61" s="13">
        <v>1125</v>
      </c>
      <c r="G61" s="12"/>
      <c r="H61" s="13">
        <v>1125</v>
      </c>
      <c r="I61" s="12"/>
    </row>
    <row r="62" spans="1:9" x14ac:dyDescent="0.25">
      <c r="A62" s="12"/>
      <c r="B62" s="14" t="s">
        <v>58</v>
      </c>
      <c r="C62" s="14"/>
      <c r="D62" s="14"/>
      <c r="E62" s="15"/>
      <c r="F62" s="9">
        <v>-5459552.3799999999</v>
      </c>
      <c r="G62" s="14"/>
      <c r="H62" s="9">
        <v>-4461548.42</v>
      </c>
      <c r="I62" s="14"/>
    </row>
    <row r="63" spans="1:9" x14ac:dyDescent="0.25">
      <c r="A63" s="7" t="s">
        <v>59</v>
      </c>
      <c r="B63" s="7"/>
      <c r="C63" s="7"/>
      <c r="D63" s="7"/>
      <c r="E63" s="4"/>
      <c r="F63" s="20">
        <f>F33+F7</f>
        <v>30486832.600000001</v>
      </c>
      <c r="G63" s="10">
        <f>F63/F63*100</f>
        <v>100</v>
      </c>
      <c r="H63" s="20">
        <f>H33+H7</f>
        <v>29554916.990000002</v>
      </c>
      <c r="I63" s="10">
        <f>H63/H63*100</f>
        <v>100</v>
      </c>
    </row>
    <row r="64" spans="1:9" x14ac:dyDescent="0.25">
      <c r="A64" s="7"/>
      <c r="B64" s="7"/>
      <c r="C64" s="7"/>
      <c r="D64" s="7"/>
      <c r="E64" s="4"/>
      <c r="F64" s="20"/>
      <c r="G64" s="10"/>
      <c r="H64" s="20"/>
      <c r="I64" s="10"/>
    </row>
    <row r="65" spans="1:9" x14ac:dyDescent="0.25">
      <c r="A65" s="7"/>
      <c r="B65" s="7"/>
      <c r="C65" s="7"/>
      <c r="D65" s="7"/>
      <c r="E65" s="4"/>
      <c r="F65" s="20"/>
      <c r="G65" s="21"/>
      <c r="H65" s="20"/>
      <c r="I65" s="21"/>
    </row>
    <row r="66" spans="1:9" x14ac:dyDescent="0.25">
      <c r="A66" s="77" t="s">
        <v>227</v>
      </c>
      <c r="B66" s="77"/>
      <c r="C66" s="77"/>
      <c r="D66" s="77"/>
      <c r="E66" s="77"/>
      <c r="F66" s="77"/>
      <c r="G66" s="77"/>
      <c r="H66" s="77"/>
      <c r="I66" s="77"/>
    </row>
    <row r="67" spans="1:9" x14ac:dyDescent="0.25">
      <c r="A67" s="2"/>
      <c r="B67" s="2"/>
      <c r="C67" s="2" t="s">
        <v>60</v>
      </c>
      <c r="D67" s="12"/>
      <c r="E67" s="2"/>
      <c r="F67" s="22"/>
      <c r="G67" s="77" t="s">
        <v>61</v>
      </c>
      <c r="H67" s="77"/>
      <c r="I67" s="2"/>
    </row>
    <row r="68" spans="1:9" x14ac:dyDescent="0.25">
      <c r="A68" s="7"/>
      <c r="B68" s="13"/>
      <c r="C68" s="2" t="s">
        <v>62</v>
      </c>
      <c r="D68" s="12"/>
      <c r="E68" s="2"/>
      <c r="F68" s="23"/>
      <c r="G68" s="77" t="s">
        <v>63</v>
      </c>
      <c r="H68" s="77"/>
      <c r="I68" s="21"/>
    </row>
    <row r="69" spans="1:9" x14ac:dyDescent="0.25">
      <c r="A69" s="7"/>
      <c r="B69" s="13"/>
      <c r="C69" s="24" t="s">
        <v>64</v>
      </c>
      <c r="D69" s="12"/>
      <c r="E69" s="2"/>
      <c r="F69" s="23"/>
      <c r="G69" s="77" t="s">
        <v>65</v>
      </c>
      <c r="H69" s="77"/>
      <c r="I69" s="21"/>
    </row>
    <row r="70" spans="1:9" x14ac:dyDescent="0.25">
      <c r="A70" s="7"/>
      <c r="B70" s="13"/>
      <c r="C70" s="24"/>
      <c r="D70" s="12"/>
      <c r="E70" s="2"/>
      <c r="F70" s="23"/>
      <c r="G70" s="2"/>
      <c r="H70" s="2"/>
      <c r="I70" s="21"/>
    </row>
    <row r="71" spans="1:9" x14ac:dyDescent="0.25">
      <c r="A71" s="7"/>
      <c r="B71" s="13"/>
      <c r="C71" s="24"/>
      <c r="D71" s="12"/>
      <c r="E71" s="2"/>
      <c r="F71" s="23"/>
      <c r="G71" s="2"/>
      <c r="H71" s="2"/>
      <c r="I71" s="21"/>
    </row>
    <row r="72" spans="1:9" x14ac:dyDescent="0.25">
      <c r="A72" s="7"/>
      <c r="B72" s="13"/>
      <c r="C72" s="24"/>
      <c r="D72" s="12"/>
      <c r="E72" s="2"/>
      <c r="F72" s="23"/>
      <c r="G72" s="2"/>
      <c r="H72" s="2"/>
      <c r="I72" s="21"/>
    </row>
    <row r="73" spans="1:9" ht="18" x14ac:dyDescent="0.25">
      <c r="A73" s="78" t="s">
        <v>0</v>
      </c>
      <c r="B73" s="78"/>
      <c r="C73" s="78"/>
      <c r="D73" s="78"/>
      <c r="E73" s="78"/>
      <c r="F73" s="78"/>
      <c r="G73" s="78"/>
      <c r="H73" s="78"/>
      <c r="I73" s="78"/>
    </row>
    <row r="74" spans="1:9" x14ac:dyDescent="0.25">
      <c r="A74" s="79" t="s">
        <v>1</v>
      </c>
      <c r="B74" s="79"/>
      <c r="C74" s="79"/>
      <c r="D74" s="79"/>
      <c r="E74" s="79"/>
      <c r="F74" s="79"/>
      <c r="G74" s="79"/>
      <c r="H74" s="79"/>
      <c r="I74" s="79"/>
    </row>
    <row r="75" spans="1:9" x14ac:dyDescent="0.25">
      <c r="A75" s="2"/>
      <c r="B75" s="2"/>
      <c r="C75" s="2"/>
      <c r="D75" s="2"/>
      <c r="E75" s="2"/>
      <c r="F75" s="2"/>
      <c r="G75" s="2"/>
      <c r="H75" s="2"/>
      <c r="I75" s="2"/>
    </row>
    <row r="76" spans="1:9" ht="15.75" x14ac:dyDescent="0.25">
      <c r="A76" s="75" t="s">
        <v>2</v>
      </c>
      <c r="B76" s="75"/>
      <c r="C76" s="75"/>
      <c r="D76" s="75"/>
      <c r="E76" s="75"/>
      <c r="F76" s="75"/>
      <c r="G76" s="75"/>
      <c r="H76" s="75"/>
      <c r="I76" s="75"/>
    </row>
    <row r="77" spans="1:9" x14ac:dyDescent="0.25">
      <c r="A77" s="7"/>
      <c r="B77" s="25"/>
      <c r="C77" s="7"/>
      <c r="D77" s="7"/>
      <c r="E77" s="4"/>
      <c r="F77" s="7"/>
      <c r="G77" s="14"/>
      <c r="H77" s="7"/>
      <c r="I77" s="14"/>
    </row>
    <row r="78" spans="1:9" x14ac:dyDescent="0.25">
      <c r="A78" s="80" t="s">
        <v>66</v>
      </c>
      <c r="B78" s="80"/>
      <c r="C78" s="80"/>
      <c r="D78" s="80"/>
      <c r="E78" s="80"/>
      <c r="F78" s="5">
        <v>44196</v>
      </c>
      <c r="G78" s="6" t="s">
        <v>4</v>
      </c>
      <c r="H78" s="5">
        <v>43830</v>
      </c>
      <c r="I78" s="6" t="s">
        <v>4</v>
      </c>
    </row>
    <row r="79" spans="1:9" ht="19.5" x14ac:dyDescent="0.55000000000000004">
      <c r="A79" s="7" t="s">
        <v>5</v>
      </c>
      <c r="B79" s="25"/>
      <c r="C79" s="7"/>
      <c r="D79" s="7"/>
      <c r="E79" s="4"/>
      <c r="F79" s="16">
        <f>SUM(F80:F90)-F83-F84</f>
        <v>17069662.460000001</v>
      </c>
      <c r="G79" s="6">
        <f>F79/F99*100</f>
        <v>55.990278439092435</v>
      </c>
      <c r="H79" s="16">
        <f>SUM(H80:H90)-H83-H84</f>
        <v>16323157.18</v>
      </c>
      <c r="I79" s="6">
        <f>H79/H99*100</f>
        <v>55.22992057640694</v>
      </c>
    </row>
    <row r="80" spans="1:9" x14ac:dyDescent="0.25">
      <c r="A80" s="12"/>
      <c r="B80" s="13"/>
      <c r="C80" s="12" t="s">
        <v>67</v>
      </c>
      <c r="D80" s="12"/>
      <c r="E80" s="2"/>
      <c r="F80" s="13">
        <v>5164172.97</v>
      </c>
      <c r="G80" s="12"/>
      <c r="H80" s="13">
        <v>3579480.04</v>
      </c>
      <c r="I80" s="12"/>
    </row>
    <row r="81" spans="1:9" x14ac:dyDescent="0.25">
      <c r="A81" s="12"/>
      <c r="B81" s="13" t="s">
        <v>68</v>
      </c>
      <c r="C81" s="12" t="s">
        <v>69</v>
      </c>
      <c r="D81" s="12"/>
      <c r="E81" s="2"/>
      <c r="F81" s="13">
        <v>3826798.5</v>
      </c>
      <c r="G81" s="12"/>
      <c r="H81" s="13">
        <v>4695578.29</v>
      </c>
      <c r="I81" s="12"/>
    </row>
    <row r="82" spans="1:9" x14ac:dyDescent="0.25">
      <c r="A82" s="12"/>
      <c r="B82" s="13"/>
      <c r="C82" s="12" t="s">
        <v>70</v>
      </c>
      <c r="D82" s="12"/>
      <c r="E82" s="2"/>
      <c r="F82" s="13">
        <f>F83+F84</f>
        <v>5423822.4399999995</v>
      </c>
      <c r="G82" s="12"/>
      <c r="H82" s="13">
        <f>H83+H84</f>
        <v>5193502.88</v>
      </c>
      <c r="I82" s="12"/>
    </row>
    <row r="83" spans="1:9" x14ac:dyDescent="0.25">
      <c r="A83" s="12"/>
      <c r="B83" s="13"/>
      <c r="C83" s="12" t="s">
        <v>71</v>
      </c>
      <c r="D83" s="12"/>
      <c r="E83" s="2"/>
      <c r="F83" s="13">
        <v>1630283.48</v>
      </c>
      <c r="G83" s="12"/>
      <c r="H83" s="13">
        <v>1317616.93</v>
      </c>
      <c r="I83" s="12"/>
    </row>
    <row r="84" spans="1:9" x14ac:dyDescent="0.25">
      <c r="A84" s="12"/>
      <c r="B84" s="13"/>
      <c r="C84" s="12" t="s">
        <v>72</v>
      </c>
      <c r="D84" s="12"/>
      <c r="E84" s="2"/>
      <c r="F84" s="13">
        <f>3122619.83+670919.13</f>
        <v>3793538.96</v>
      </c>
      <c r="G84" s="12"/>
      <c r="H84" s="13">
        <v>3875885.95</v>
      </c>
      <c r="I84" s="12"/>
    </row>
    <row r="85" spans="1:9" x14ac:dyDescent="0.25">
      <c r="A85" s="12"/>
      <c r="B85" s="13"/>
      <c r="C85" s="12" t="s">
        <v>73</v>
      </c>
      <c r="D85" s="12"/>
      <c r="E85" s="2"/>
      <c r="F85" s="13">
        <v>1170829.4099999999</v>
      </c>
      <c r="G85" s="12"/>
      <c r="H85" s="13">
        <v>597833.68000000005</v>
      </c>
      <c r="I85" s="12"/>
    </row>
    <row r="86" spans="1:9" x14ac:dyDescent="0.25">
      <c r="A86" s="12"/>
      <c r="B86" s="13"/>
      <c r="C86" s="12" t="s">
        <v>74</v>
      </c>
      <c r="D86" s="12"/>
      <c r="E86" s="2"/>
      <c r="F86" s="13">
        <v>891488.21</v>
      </c>
      <c r="G86" s="12"/>
      <c r="H86" s="13">
        <f>457368.93+758825.48</f>
        <v>1216194.4099999999</v>
      </c>
      <c r="I86" s="12"/>
    </row>
    <row r="87" spans="1:9" x14ac:dyDescent="0.25">
      <c r="A87" s="12"/>
      <c r="B87" s="13"/>
      <c r="C87" s="12" t="s">
        <v>75</v>
      </c>
      <c r="D87" s="12"/>
      <c r="E87" s="2"/>
      <c r="F87" s="13">
        <v>270297.03000000003</v>
      </c>
      <c r="G87" s="12"/>
      <c r="H87" s="13">
        <v>418413.05</v>
      </c>
      <c r="I87" s="12"/>
    </row>
    <row r="88" spans="1:9" x14ac:dyDescent="0.25">
      <c r="A88" s="12"/>
      <c r="B88" s="13"/>
      <c r="C88" s="12" t="s">
        <v>76</v>
      </c>
      <c r="D88" s="12"/>
      <c r="E88" s="2"/>
      <c r="F88" s="13">
        <v>77768.61</v>
      </c>
      <c r="G88" s="12"/>
      <c r="H88" s="13">
        <v>214824.15</v>
      </c>
      <c r="I88" s="12"/>
    </row>
    <row r="89" spans="1:9" x14ac:dyDescent="0.25">
      <c r="A89" s="12"/>
      <c r="B89" s="13"/>
      <c r="C89" s="12" t="s">
        <v>77</v>
      </c>
      <c r="D89" s="12"/>
      <c r="E89" s="2"/>
      <c r="F89" s="13">
        <v>236049.53</v>
      </c>
      <c r="G89" s="12"/>
      <c r="H89" s="13">
        <v>404850.89</v>
      </c>
      <c r="I89" s="12"/>
    </row>
    <row r="90" spans="1:9" x14ac:dyDescent="0.25">
      <c r="A90" s="12"/>
      <c r="B90" s="13"/>
      <c r="C90" s="12" t="s">
        <v>78</v>
      </c>
      <c r="D90" s="12"/>
      <c r="E90" s="2"/>
      <c r="F90" s="13">
        <f>4875.03+933.02+2627.71</f>
        <v>8435.7599999999984</v>
      </c>
      <c r="G90" s="12"/>
      <c r="H90" s="13">
        <v>2479.79</v>
      </c>
      <c r="I90" s="12"/>
    </row>
    <row r="91" spans="1:9" ht="19.5" x14ac:dyDescent="0.55000000000000004">
      <c r="A91" s="7" t="s">
        <v>31</v>
      </c>
      <c r="B91" s="26"/>
      <c r="C91" s="27"/>
      <c r="D91" s="27"/>
      <c r="E91" s="1"/>
      <c r="F91" s="16">
        <f>SUM(F93:F95)</f>
        <v>10928825.59</v>
      </c>
      <c r="G91" s="6">
        <f>F91/F99*100</f>
        <v>35.847691143880915</v>
      </c>
      <c r="H91" s="16">
        <f>SUM(H93:H95)</f>
        <v>11073910.08</v>
      </c>
      <c r="I91" s="6">
        <f>H91/H99*100</f>
        <v>37.468926350721588</v>
      </c>
    </row>
    <row r="92" spans="1:9" x14ac:dyDescent="0.25">
      <c r="A92" s="7"/>
      <c r="B92" s="25" t="s">
        <v>79</v>
      </c>
      <c r="C92" s="7"/>
      <c r="D92" s="7"/>
      <c r="E92" s="4"/>
      <c r="F92" s="25">
        <f>SUM(F93:F95)</f>
        <v>10928825.59</v>
      </c>
      <c r="G92" s="6"/>
      <c r="H92" s="25">
        <f>SUM(H93:H95)</f>
        <v>11073910.08</v>
      </c>
      <c r="I92" s="6"/>
    </row>
    <row r="93" spans="1:9" x14ac:dyDescent="0.25">
      <c r="A93" s="14"/>
      <c r="B93" s="13"/>
      <c r="C93" s="12" t="s">
        <v>80</v>
      </c>
      <c r="D93" s="12"/>
      <c r="E93" s="2"/>
      <c r="F93" s="13">
        <v>7370392.21</v>
      </c>
      <c r="G93" s="6"/>
      <c r="H93" s="13">
        <v>8031409.5199999996</v>
      </c>
      <c r="I93" s="6"/>
    </row>
    <row r="94" spans="1:9" x14ac:dyDescent="0.25">
      <c r="A94" s="12"/>
      <c r="B94" s="13"/>
      <c r="C94" s="12" t="s">
        <v>81</v>
      </c>
      <c r="D94" s="12"/>
      <c r="E94" s="2"/>
      <c r="F94" s="13">
        <v>3315526.72</v>
      </c>
      <c r="G94" s="12"/>
      <c r="H94" s="13">
        <v>2799593.9</v>
      </c>
      <c r="I94" s="12"/>
    </row>
    <row r="95" spans="1:9" x14ac:dyDescent="0.25">
      <c r="A95" s="12"/>
      <c r="B95" s="13"/>
      <c r="C95" s="12" t="s">
        <v>82</v>
      </c>
      <c r="D95" s="12"/>
      <c r="E95" s="2"/>
      <c r="F95" s="13">
        <v>242906.66</v>
      </c>
      <c r="G95" s="12"/>
      <c r="H95" s="13">
        <v>242906.66</v>
      </c>
      <c r="I95" s="12"/>
    </row>
    <row r="96" spans="1:9" ht="19.5" x14ac:dyDescent="0.55000000000000004">
      <c r="A96" s="7" t="s">
        <v>83</v>
      </c>
      <c r="B96" s="26"/>
      <c r="C96" s="27"/>
      <c r="D96" s="27"/>
      <c r="E96" s="1"/>
      <c r="F96" s="16">
        <f>SUM(F97:F98)</f>
        <v>2488344.549999997</v>
      </c>
      <c r="G96" s="6">
        <f>F96/F99*100</f>
        <v>8.1620304170266511</v>
      </c>
      <c r="H96" s="16">
        <f>SUM(H97:H98)</f>
        <v>2157849.7299999939</v>
      </c>
      <c r="I96" s="6">
        <f>H96/H99*100</f>
        <v>7.3011530728714611</v>
      </c>
    </row>
    <row r="97" spans="1:9" x14ac:dyDescent="0.25">
      <c r="A97" s="12"/>
      <c r="B97" s="13"/>
      <c r="C97" s="12" t="s">
        <v>84</v>
      </c>
      <c r="D97" s="12"/>
      <c r="E97" s="2"/>
      <c r="F97" s="13">
        <v>1306718.3600000001</v>
      </c>
      <c r="G97" s="12"/>
      <c r="H97" s="13">
        <v>1306718.3600000001</v>
      </c>
      <c r="I97" s="12"/>
    </row>
    <row r="98" spans="1:9" x14ac:dyDescent="0.25">
      <c r="A98" s="27" t="s">
        <v>68</v>
      </c>
      <c r="B98" s="13"/>
      <c r="C98" s="12" t="s">
        <v>85</v>
      </c>
      <c r="D98" s="12"/>
      <c r="E98" s="2"/>
      <c r="F98" s="13">
        <f>'[3]balancete 2020'!$N$88</f>
        <v>1181626.1899999972</v>
      </c>
      <c r="G98" s="12"/>
      <c r="H98" s="13">
        <f>'[1]balancete 2019'!$N$88</f>
        <v>851131.36999999394</v>
      </c>
      <c r="I98" s="12"/>
    </row>
    <row r="99" spans="1:9" x14ac:dyDescent="0.25">
      <c r="A99" s="7" t="s">
        <v>86</v>
      </c>
      <c r="B99" s="26"/>
      <c r="C99" s="27"/>
      <c r="D99" s="27"/>
      <c r="E99" s="1"/>
      <c r="F99" s="25">
        <f>F96+F91+F79</f>
        <v>30486832.599999998</v>
      </c>
      <c r="G99" s="6">
        <f>F99/F99*100</f>
        <v>100</v>
      </c>
      <c r="H99" s="25">
        <f>H96+H91+H79</f>
        <v>29554916.989999995</v>
      </c>
      <c r="I99" s="6">
        <f>H99/H99*100</f>
        <v>100</v>
      </c>
    </row>
    <row r="100" spans="1:9" x14ac:dyDescent="0.25">
      <c r="A100" s="7"/>
      <c r="B100" s="26"/>
      <c r="C100" s="27"/>
      <c r="D100" s="27"/>
      <c r="E100" s="1"/>
      <c r="F100" s="25"/>
      <c r="G100" s="25"/>
      <c r="H100" s="25"/>
      <c r="I100" s="21"/>
    </row>
    <row r="101" spans="1:9" x14ac:dyDescent="0.25">
      <c r="A101" s="7"/>
      <c r="B101" s="26"/>
      <c r="C101" s="27"/>
      <c r="D101" s="27"/>
      <c r="E101" s="1"/>
      <c r="F101" s="25"/>
      <c r="G101" s="25"/>
      <c r="H101" s="25"/>
      <c r="I101" s="21"/>
    </row>
    <row r="102" spans="1:9" x14ac:dyDescent="0.25">
      <c r="A102" s="12"/>
      <c r="B102" s="13"/>
      <c r="C102" s="12"/>
      <c r="D102" s="12"/>
      <c r="E102" s="2"/>
      <c r="F102" s="14"/>
      <c r="G102" s="12"/>
      <c r="H102" s="12"/>
      <c r="I102" s="12"/>
    </row>
    <row r="103" spans="1:9" x14ac:dyDescent="0.25">
      <c r="A103" s="77" t="str">
        <f>A66</f>
        <v>Carazinho, 31 de dezembro de 2.020</v>
      </c>
      <c r="B103" s="77"/>
      <c r="C103" s="77"/>
      <c r="D103" s="77"/>
      <c r="E103" s="77"/>
      <c r="F103" s="77"/>
      <c r="G103" s="77"/>
      <c r="H103" s="77"/>
      <c r="I103" s="77"/>
    </row>
    <row r="104" spans="1:9" x14ac:dyDescent="0.25">
      <c r="A104" s="12"/>
      <c r="B104" s="13"/>
      <c r="C104" s="12"/>
      <c r="D104" s="12"/>
      <c r="E104" s="2"/>
      <c r="F104" s="14"/>
      <c r="G104" s="12"/>
      <c r="H104" s="12"/>
      <c r="I104" s="12"/>
    </row>
    <row r="105" spans="1:9" x14ac:dyDescent="0.25">
      <c r="A105" s="12"/>
      <c r="B105" s="13"/>
      <c r="C105" s="12"/>
      <c r="D105" s="12"/>
      <c r="E105" s="2"/>
      <c r="F105" s="14"/>
      <c r="G105" s="12"/>
      <c r="H105" s="12"/>
      <c r="I105" s="12"/>
    </row>
    <row r="106" spans="1:9" x14ac:dyDescent="0.25">
      <c r="A106" s="12"/>
      <c r="B106" s="13"/>
      <c r="C106" s="2" t="s">
        <v>60</v>
      </c>
      <c r="D106" s="12"/>
      <c r="E106" s="2"/>
      <c r="F106" s="22"/>
      <c r="G106" s="77" t="s">
        <v>61</v>
      </c>
      <c r="H106" s="77"/>
      <c r="I106" s="6"/>
    </row>
    <row r="107" spans="1:9" x14ac:dyDescent="0.25">
      <c r="A107" s="12"/>
      <c r="B107" s="13"/>
      <c r="C107" s="2" t="s">
        <v>62</v>
      </c>
      <c r="D107" s="12"/>
      <c r="E107" s="2"/>
      <c r="F107" s="23"/>
      <c r="G107" s="77" t="s">
        <v>63</v>
      </c>
      <c r="H107" s="77"/>
      <c r="I107" s="6"/>
    </row>
    <row r="108" spans="1:9" x14ac:dyDescent="0.25">
      <c r="A108" s="12"/>
      <c r="B108" s="13"/>
      <c r="C108" s="24" t="s">
        <v>64</v>
      </c>
      <c r="D108" s="12"/>
      <c r="E108" s="2"/>
      <c r="F108" s="23"/>
      <c r="G108" s="77" t="s">
        <v>65</v>
      </c>
      <c r="H108" s="77"/>
      <c r="I108" s="6"/>
    </row>
    <row r="109" spans="1:9" x14ac:dyDescent="0.25">
      <c r="A109" s="12"/>
      <c r="B109" s="13"/>
      <c r="C109" s="12"/>
      <c r="D109" s="12"/>
      <c r="E109" s="2"/>
      <c r="F109" s="14"/>
      <c r="G109" s="12"/>
      <c r="H109" s="12"/>
      <c r="I109" s="12"/>
    </row>
    <row r="110" spans="1:9" x14ac:dyDescent="0.25">
      <c r="A110" s="12"/>
      <c r="B110" s="13"/>
      <c r="C110" s="12"/>
      <c r="D110" s="12"/>
      <c r="E110" s="2"/>
      <c r="F110" s="14"/>
      <c r="G110" s="12"/>
      <c r="H110" s="12"/>
      <c r="I110" s="12"/>
    </row>
    <row r="111" spans="1:9" x14ac:dyDescent="0.25">
      <c r="A111" s="12"/>
      <c r="B111" s="13"/>
      <c r="C111" s="12"/>
      <c r="D111" s="12"/>
      <c r="E111" s="2"/>
      <c r="F111" s="14"/>
      <c r="G111" s="12"/>
      <c r="H111" s="12"/>
      <c r="I111" s="12"/>
    </row>
    <row r="112" spans="1:9" x14ac:dyDescent="0.25">
      <c r="A112" s="12"/>
      <c r="B112" s="13"/>
      <c r="C112" s="12"/>
      <c r="D112" s="12"/>
      <c r="E112" s="2"/>
      <c r="F112" s="28"/>
      <c r="G112" s="28"/>
      <c r="H112" s="28"/>
      <c r="I112" s="28"/>
    </row>
    <row r="113" spans="1:9" x14ac:dyDescent="0.25">
      <c r="A113" s="12"/>
      <c r="B113" s="13"/>
      <c r="C113" s="12"/>
      <c r="D113" s="12"/>
      <c r="E113" s="2"/>
      <c r="F113" s="29"/>
      <c r="G113" s="29"/>
      <c r="H113" s="29"/>
      <c r="I113" s="29"/>
    </row>
    <row r="114" spans="1:9" x14ac:dyDescent="0.25">
      <c r="A114" s="12"/>
      <c r="B114" s="13"/>
      <c r="C114" s="12"/>
      <c r="D114" s="12"/>
      <c r="E114" s="2"/>
      <c r="F114" s="14"/>
      <c r="G114" s="12"/>
      <c r="H114" s="12"/>
      <c r="I114" s="12"/>
    </row>
    <row r="115" spans="1:9" x14ac:dyDescent="0.25">
      <c r="A115" s="12"/>
      <c r="B115" s="13"/>
      <c r="C115" s="12"/>
      <c r="D115" s="12"/>
      <c r="E115" s="2"/>
      <c r="F115" s="14"/>
      <c r="G115" s="12"/>
      <c r="H115" s="12"/>
      <c r="I115" s="12"/>
    </row>
    <row r="116" spans="1:9" x14ac:dyDescent="0.25">
      <c r="A116" s="12"/>
      <c r="B116" s="13"/>
      <c r="C116" s="12"/>
      <c r="D116" s="12"/>
      <c r="E116" s="2"/>
      <c r="F116" s="14"/>
      <c r="G116" s="12"/>
      <c r="H116" s="12"/>
      <c r="I116" s="12"/>
    </row>
    <row r="117" spans="1:9" x14ac:dyDescent="0.25">
      <c r="A117" s="12"/>
      <c r="B117" s="13"/>
      <c r="C117" s="12"/>
      <c r="D117" s="12"/>
      <c r="E117" s="2"/>
      <c r="F117" s="14"/>
      <c r="G117" s="12"/>
      <c r="H117" s="12"/>
      <c r="I117" s="12"/>
    </row>
    <row r="118" spans="1:9" x14ac:dyDescent="0.25">
      <c r="A118" s="12"/>
      <c r="B118" s="13"/>
      <c r="C118" s="12"/>
      <c r="D118" s="12"/>
      <c r="E118" s="2"/>
      <c r="F118" s="14"/>
      <c r="G118" s="12"/>
      <c r="H118" s="12"/>
      <c r="I118" s="12"/>
    </row>
    <row r="119" spans="1:9" x14ac:dyDescent="0.25">
      <c r="A119" s="12"/>
      <c r="B119" s="13"/>
      <c r="C119" s="12"/>
      <c r="D119" s="12"/>
      <c r="E119" s="2"/>
      <c r="F119" s="14"/>
      <c r="G119" s="12"/>
      <c r="H119" s="12"/>
      <c r="I119" s="12"/>
    </row>
    <row r="120" spans="1:9" x14ac:dyDescent="0.25">
      <c r="A120" s="12"/>
      <c r="B120" s="13"/>
      <c r="C120" s="12"/>
      <c r="D120" s="12"/>
      <c r="E120" s="2"/>
      <c r="F120" s="14"/>
      <c r="G120" s="12"/>
      <c r="H120" s="12"/>
      <c r="I120" s="12"/>
    </row>
    <row r="121" spans="1:9" x14ac:dyDescent="0.25">
      <c r="A121" s="12"/>
      <c r="B121" s="13"/>
      <c r="C121" s="12"/>
      <c r="D121" s="12"/>
      <c r="E121" s="2"/>
      <c r="F121" s="14"/>
      <c r="G121" s="12"/>
      <c r="H121" s="12"/>
      <c r="I121" s="12"/>
    </row>
    <row r="122" spans="1:9" x14ac:dyDescent="0.25">
      <c r="A122" s="12"/>
      <c r="B122" s="13"/>
      <c r="C122" s="12"/>
      <c r="D122" s="12"/>
      <c r="E122" s="2"/>
      <c r="F122" s="14"/>
      <c r="G122" s="12"/>
      <c r="H122" s="12"/>
      <c r="I122" s="12"/>
    </row>
    <row r="123" spans="1:9" x14ac:dyDescent="0.25">
      <c r="A123" s="12"/>
      <c r="B123" s="13"/>
      <c r="C123" s="12"/>
      <c r="D123" s="12"/>
      <c r="E123" s="2"/>
      <c r="F123" s="14"/>
      <c r="G123" s="12"/>
      <c r="H123" s="12"/>
      <c r="I123" s="12"/>
    </row>
    <row r="124" spans="1:9" x14ac:dyDescent="0.25">
      <c r="A124" s="77"/>
      <c r="B124" s="77"/>
      <c r="C124" s="77"/>
      <c r="D124" s="77"/>
      <c r="E124" s="77"/>
      <c r="F124" s="77"/>
      <c r="G124" s="77"/>
      <c r="H124" s="77"/>
      <c r="I124" s="77"/>
    </row>
    <row r="125" spans="1:9" x14ac:dyDescent="0.25">
      <c r="A125" s="12"/>
      <c r="B125" s="13"/>
      <c r="C125" s="12"/>
      <c r="D125" s="12"/>
      <c r="E125" s="2"/>
      <c r="F125" s="14"/>
      <c r="G125" s="12"/>
      <c r="H125" s="12"/>
      <c r="I125" s="12"/>
    </row>
    <row r="126" spans="1:9" x14ac:dyDescent="0.25">
      <c r="A126" s="12"/>
      <c r="B126" s="13"/>
      <c r="C126" s="12"/>
      <c r="D126" s="12"/>
      <c r="E126" s="2"/>
      <c r="F126" s="14"/>
      <c r="G126" s="12"/>
      <c r="H126" s="12"/>
      <c r="I126" s="12"/>
    </row>
    <row r="127" spans="1:9" x14ac:dyDescent="0.25">
      <c r="A127" s="12"/>
      <c r="B127" s="77"/>
      <c r="C127" s="77"/>
      <c r="D127" s="12"/>
      <c r="E127" s="2"/>
      <c r="F127" s="14"/>
      <c r="G127" s="77"/>
      <c r="H127" s="77"/>
      <c r="I127" s="6"/>
    </row>
    <row r="128" spans="1:9" x14ac:dyDescent="0.25">
      <c r="A128" s="12"/>
      <c r="B128" s="77"/>
      <c r="C128" s="77"/>
      <c r="D128" s="12"/>
      <c r="E128" s="2"/>
      <c r="F128" s="14"/>
      <c r="G128" s="77"/>
      <c r="H128" s="77"/>
      <c r="I128" s="6"/>
    </row>
    <row r="129" spans="1:9" x14ac:dyDescent="0.25">
      <c r="A129" s="12"/>
      <c r="B129" s="77"/>
      <c r="C129" s="77"/>
      <c r="D129" s="12"/>
      <c r="E129" s="2"/>
      <c r="F129" s="14"/>
      <c r="G129" s="77"/>
      <c r="H129" s="77"/>
      <c r="I129" s="6"/>
    </row>
    <row r="130" spans="1:9" x14ac:dyDescent="0.25">
      <c r="A130" s="12"/>
      <c r="B130" s="13"/>
      <c r="C130" s="12"/>
      <c r="D130" s="12"/>
      <c r="E130" s="2"/>
      <c r="F130" s="14"/>
      <c r="G130" s="12"/>
      <c r="H130" s="12"/>
      <c r="I130" s="12"/>
    </row>
    <row r="131" spans="1:9" x14ac:dyDescent="0.25">
      <c r="A131" s="12"/>
      <c r="B131" s="13"/>
      <c r="C131" s="12"/>
      <c r="D131" s="12"/>
      <c r="E131" s="2"/>
      <c r="F131" s="14"/>
      <c r="G131" s="12"/>
      <c r="H131" s="12"/>
      <c r="I131" s="12"/>
    </row>
    <row r="132" spans="1:9" x14ac:dyDescent="0.25">
      <c r="A132" s="12"/>
      <c r="B132" s="13"/>
      <c r="C132" s="12"/>
      <c r="D132" s="12"/>
      <c r="E132" s="2"/>
      <c r="F132" s="14"/>
      <c r="G132" s="12"/>
      <c r="H132" s="12"/>
      <c r="I132" s="12"/>
    </row>
    <row r="133" spans="1:9" x14ac:dyDescent="0.25">
      <c r="A133" s="12"/>
      <c r="B133" s="13"/>
      <c r="C133" s="12"/>
      <c r="D133" s="12"/>
      <c r="E133" s="2"/>
      <c r="F133" s="14"/>
      <c r="G133" s="12"/>
      <c r="H133" s="12"/>
      <c r="I133" s="12"/>
    </row>
    <row r="134" spans="1:9" x14ac:dyDescent="0.25">
      <c r="A134" s="12"/>
      <c r="B134" s="13"/>
      <c r="C134" s="12"/>
      <c r="D134" s="12"/>
      <c r="E134" s="2"/>
      <c r="F134" s="14"/>
      <c r="G134" s="12"/>
      <c r="H134" s="12"/>
      <c r="I134" s="12"/>
    </row>
    <row r="135" spans="1:9" x14ac:dyDescent="0.25">
      <c r="A135" s="12"/>
      <c r="B135" s="13"/>
      <c r="C135" s="12"/>
      <c r="D135" s="12"/>
      <c r="E135" s="2"/>
      <c r="F135" s="14"/>
      <c r="G135" s="12"/>
      <c r="H135" s="12"/>
      <c r="I135" s="12"/>
    </row>
    <row r="136" spans="1:9" x14ac:dyDescent="0.25">
      <c r="A136" s="12"/>
      <c r="B136" s="13"/>
      <c r="C136" s="12"/>
      <c r="D136" s="12"/>
      <c r="E136" s="2"/>
      <c r="F136" s="14"/>
      <c r="G136" s="12"/>
      <c r="H136" s="12"/>
      <c r="I136" s="12"/>
    </row>
    <row r="137" spans="1:9" x14ac:dyDescent="0.25">
      <c r="A137" s="12"/>
      <c r="B137" s="13"/>
      <c r="C137" s="12"/>
      <c r="D137" s="12"/>
      <c r="E137" s="2"/>
      <c r="F137" s="14"/>
      <c r="G137" s="12"/>
      <c r="H137" s="12"/>
      <c r="I137" s="12"/>
    </row>
    <row r="138" spans="1:9" x14ac:dyDescent="0.25">
      <c r="A138" s="12"/>
      <c r="B138" s="13"/>
      <c r="C138" s="12"/>
      <c r="D138" s="12"/>
      <c r="E138" s="2"/>
      <c r="F138" s="14"/>
      <c r="G138" s="12"/>
      <c r="H138" s="12"/>
      <c r="I138" s="12"/>
    </row>
    <row r="139" spans="1:9" x14ac:dyDescent="0.25">
      <c r="A139" s="12"/>
      <c r="B139" s="13"/>
      <c r="C139" s="12"/>
      <c r="D139" s="12"/>
      <c r="E139" s="2"/>
      <c r="F139" s="14"/>
      <c r="G139" s="12"/>
      <c r="H139" s="12"/>
      <c r="I139" s="12"/>
    </row>
    <row r="140" spans="1:9" x14ac:dyDescent="0.25">
      <c r="A140" s="12"/>
      <c r="B140" s="13"/>
      <c r="C140" s="12"/>
      <c r="D140" s="12"/>
      <c r="E140" s="2"/>
      <c r="F140" s="14"/>
      <c r="G140" s="12"/>
      <c r="H140" s="12"/>
      <c r="I140" s="12"/>
    </row>
    <row r="141" spans="1:9" x14ac:dyDescent="0.25">
      <c r="A141" s="12"/>
      <c r="B141" s="13"/>
      <c r="C141" s="12"/>
      <c r="D141" s="12"/>
      <c r="E141" s="2"/>
      <c r="F141" s="14"/>
      <c r="G141" s="12"/>
      <c r="H141" s="12"/>
      <c r="I141" s="12"/>
    </row>
    <row r="142" spans="1:9" x14ac:dyDescent="0.25">
      <c r="A142" s="12"/>
      <c r="B142" s="13"/>
      <c r="C142" s="12"/>
      <c r="D142" s="12"/>
      <c r="E142" s="2"/>
      <c r="F142" s="14"/>
      <c r="G142" s="12"/>
      <c r="H142" s="12"/>
      <c r="I142" s="12"/>
    </row>
    <row r="143" spans="1:9" x14ac:dyDescent="0.25">
      <c r="A143" s="12"/>
      <c r="B143" s="13"/>
      <c r="C143" s="12"/>
      <c r="D143" s="12"/>
      <c r="E143" s="2"/>
      <c r="F143" s="14"/>
      <c r="G143" s="12"/>
      <c r="H143" s="12"/>
      <c r="I143" s="12"/>
    </row>
    <row r="144" spans="1:9" x14ac:dyDescent="0.25">
      <c r="A144" s="12"/>
      <c r="B144" s="13"/>
      <c r="C144" s="12"/>
      <c r="D144" s="12"/>
      <c r="E144" s="2"/>
      <c r="F144" s="14"/>
      <c r="G144" s="12"/>
      <c r="H144" s="12"/>
      <c r="I144" s="12"/>
    </row>
    <row r="145" spans="1:9" x14ac:dyDescent="0.25">
      <c r="A145" s="12"/>
      <c r="B145" s="13"/>
      <c r="C145" s="12"/>
      <c r="D145" s="12"/>
      <c r="E145" s="2"/>
      <c r="F145" s="14"/>
      <c r="G145" s="12"/>
      <c r="H145" s="12"/>
      <c r="I145" s="12"/>
    </row>
    <row r="146" spans="1:9" x14ac:dyDescent="0.25">
      <c r="A146" s="12"/>
      <c r="B146" s="13"/>
      <c r="C146" s="12"/>
      <c r="D146" s="12"/>
      <c r="E146" s="2"/>
      <c r="F146" s="14"/>
      <c r="G146" s="12"/>
      <c r="H146" s="12"/>
      <c r="I146" s="12"/>
    </row>
    <row r="147" spans="1:9" x14ac:dyDescent="0.25">
      <c r="A147" s="12"/>
      <c r="B147" s="13"/>
      <c r="C147" s="12"/>
      <c r="D147" s="12"/>
      <c r="E147" s="2"/>
      <c r="F147" s="14"/>
      <c r="G147" s="12"/>
      <c r="H147" s="12"/>
      <c r="I147" s="12"/>
    </row>
    <row r="148" spans="1:9" x14ac:dyDescent="0.25">
      <c r="A148" s="12"/>
      <c r="B148" s="13"/>
      <c r="C148" s="12"/>
      <c r="D148" s="12"/>
      <c r="E148" s="2"/>
      <c r="F148" s="14"/>
      <c r="G148" s="12"/>
      <c r="H148" s="12"/>
      <c r="I148" s="12"/>
    </row>
    <row r="149" spans="1:9" x14ac:dyDescent="0.25">
      <c r="A149" s="12"/>
      <c r="B149" s="13"/>
      <c r="C149" s="12"/>
      <c r="D149" s="12"/>
      <c r="E149" s="2"/>
      <c r="F149" s="14"/>
      <c r="G149" s="12"/>
      <c r="H149" s="12"/>
      <c r="I149" s="12"/>
    </row>
    <row r="150" spans="1:9" x14ac:dyDescent="0.25">
      <c r="A150" s="12"/>
      <c r="B150" s="13"/>
      <c r="C150" s="12"/>
      <c r="D150" s="12"/>
      <c r="E150" s="2"/>
      <c r="F150" s="14"/>
      <c r="G150" s="12"/>
      <c r="H150" s="12"/>
      <c r="I150" s="12"/>
    </row>
    <row r="151" spans="1:9" x14ac:dyDescent="0.25">
      <c r="A151" s="12"/>
      <c r="B151" s="13"/>
      <c r="C151" s="12"/>
      <c r="D151" s="12"/>
      <c r="E151" s="2"/>
      <c r="F151" s="14"/>
      <c r="G151" s="12"/>
      <c r="H151" s="12"/>
      <c r="I151" s="12"/>
    </row>
    <row r="152" spans="1:9" ht="18" x14ac:dyDescent="0.25">
      <c r="A152" s="78" t="s">
        <v>0</v>
      </c>
      <c r="B152" s="78"/>
      <c r="C152" s="78"/>
      <c r="D152" s="78"/>
      <c r="E152" s="78"/>
      <c r="F152" s="78"/>
      <c r="G152" s="78"/>
      <c r="H152" s="78"/>
      <c r="I152" s="78"/>
    </row>
    <row r="153" spans="1:9" x14ac:dyDescent="0.25">
      <c r="A153" s="79" t="s">
        <v>1</v>
      </c>
      <c r="B153" s="79"/>
      <c r="C153" s="79"/>
      <c r="D153" s="79"/>
      <c r="E153" s="79"/>
      <c r="F153" s="79"/>
      <c r="G153" s="79"/>
      <c r="H153" s="79"/>
      <c r="I153" s="79"/>
    </row>
    <row r="154" spans="1:9" x14ac:dyDescent="0.25">
      <c r="A154" s="1"/>
      <c r="B154" s="1"/>
      <c r="C154" s="1"/>
      <c r="D154" s="1"/>
      <c r="E154" s="1"/>
      <c r="F154" s="1"/>
      <c r="G154" s="1"/>
      <c r="H154" s="1"/>
      <c r="I154" s="1"/>
    </row>
    <row r="155" spans="1:9" ht="15.75" x14ac:dyDescent="0.25">
      <c r="A155" s="75" t="s">
        <v>87</v>
      </c>
      <c r="B155" s="75"/>
      <c r="C155" s="75"/>
      <c r="D155" s="75"/>
      <c r="E155" s="75"/>
      <c r="F155" s="75"/>
      <c r="G155" s="75"/>
      <c r="H155" s="75"/>
      <c r="I155" s="75"/>
    </row>
    <row r="156" spans="1:9" x14ac:dyDescent="0.25">
      <c r="A156" s="12"/>
      <c r="B156" s="13"/>
      <c r="C156" s="12"/>
      <c r="D156" s="12"/>
      <c r="E156" s="2"/>
      <c r="F156" s="14"/>
      <c r="G156" s="12"/>
      <c r="H156" s="12"/>
      <c r="I156" s="12"/>
    </row>
    <row r="157" spans="1:9" x14ac:dyDescent="0.25">
      <c r="A157" s="12"/>
      <c r="B157" s="13"/>
      <c r="C157" s="12"/>
      <c r="D157" s="12"/>
      <c r="E157" s="2"/>
      <c r="F157" s="5">
        <v>44196</v>
      </c>
      <c r="G157" s="6" t="s">
        <v>4</v>
      </c>
      <c r="H157" s="5">
        <v>43830</v>
      </c>
      <c r="I157" s="6" t="s">
        <v>4</v>
      </c>
    </row>
    <row r="158" spans="1:9" x14ac:dyDescent="0.25">
      <c r="A158" s="30"/>
      <c r="B158" s="25"/>
      <c r="C158" s="7"/>
      <c r="D158" s="7"/>
      <c r="E158" s="4"/>
      <c r="F158" s="25"/>
      <c r="G158" s="6"/>
      <c r="H158" s="25"/>
      <c r="I158" s="6"/>
    </row>
    <row r="159" spans="1:9" x14ac:dyDescent="0.25">
      <c r="A159" s="7" t="s">
        <v>88</v>
      </c>
      <c r="B159" s="7"/>
      <c r="C159" s="7"/>
      <c r="D159" s="7"/>
      <c r="E159" s="7"/>
      <c r="F159" s="31">
        <f>F161+F162+F163+F168+F171+F170</f>
        <v>44774936.539999999</v>
      </c>
      <c r="G159" s="10">
        <f>F159/F159*100</f>
        <v>100</v>
      </c>
      <c r="H159" s="31">
        <f>H161+H162+H163+H168+H171+H170</f>
        <v>41319599.259999998</v>
      </c>
      <c r="I159" s="10">
        <f>H159/H159*100</f>
        <v>100</v>
      </c>
    </row>
    <row r="160" spans="1:9" x14ac:dyDescent="0.25">
      <c r="A160" s="7" t="s">
        <v>89</v>
      </c>
      <c r="B160" s="7"/>
      <c r="C160" s="7"/>
      <c r="D160" s="7"/>
      <c r="E160" s="7"/>
      <c r="F160" s="31">
        <f>F161+F162+F163+F168+F170</f>
        <v>26331272.049999997</v>
      </c>
      <c r="G160" s="10"/>
      <c r="H160" s="31">
        <f>H161+H162+H163+H168+H170</f>
        <v>26495699.110000003</v>
      </c>
      <c r="I160" s="10"/>
    </row>
    <row r="161" spans="1:9" x14ac:dyDescent="0.25">
      <c r="A161" s="27"/>
      <c r="B161" s="19" t="s">
        <v>90</v>
      </c>
      <c r="C161" s="12"/>
      <c r="D161" s="12"/>
      <c r="E161" s="12"/>
      <c r="F161" s="24">
        <v>12561762.6</v>
      </c>
      <c r="G161" s="13">
        <f>F161/F$159*100</f>
        <v>28.055344285698457</v>
      </c>
      <c r="H161" s="24">
        <v>11116822.699999999</v>
      </c>
      <c r="I161" s="13">
        <f>H161/H$159*100</f>
        <v>26.90447850195341</v>
      </c>
    </row>
    <row r="162" spans="1:9" x14ac:dyDescent="0.25">
      <c r="A162" s="27"/>
      <c r="B162" s="19" t="s">
        <v>91</v>
      </c>
      <c r="C162" s="12"/>
      <c r="D162" s="12"/>
      <c r="E162" s="12"/>
      <c r="F162" s="24">
        <v>1886210.12</v>
      </c>
      <c r="G162" s="13">
        <f>F162/F$159*100</f>
        <v>4.2126472213197692</v>
      </c>
      <c r="H162" s="24">
        <v>2109367.52</v>
      </c>
      <c r="I162" s="13">
        <f>H162/H$159*100</f>
        <v>5.1050047865348063</v>
      </c>
    </row>
    <row r="163" spans="1:9" x14ac:dyDescent="0.25">
      <c r="A163" s="27"/>
      <c r="B163" s="12" t="s">
        <v>92</v>
      </c>
      <c r="C163" s="12"/>
      <c r="D163" s="12"/>
      <c r="E163" s="12"/>
      <c r="F163" s="24">
        <f>SUM(F164:F167)</f>
        <v>8121538.8799999999</v>
      </c>
      <c r="G163" s="13">
        <f>F163/F$159*100</f>
        <v>18.138582670562954</v>
      </c>
      <c r="H163" s="24">
        <f>SUM(H164:H167)</f>
        <v>9632031.4500000011</v>
      </c>
      <c r="I163" s="13">
        <f>H163/H$159*100</f>
        <v>23.311047596060352</v>
      </c>
    </row>
    <row r="164" spans="1:9" x14ac:dyDescent="0.25">
      <c r="A164" s="27"/>
      <c r="B164" s="12"/>
      <c r="C164" s="12" t="s">
        <v>93</v>
      </c>
      <c r="D164" s="12"/>
      <c r="E164" s="12"/>
      <c r="F164" s="24">
        <v>2920079.61</v>
      </c>
      <c r="G164" s="13"/>
      <c r="H164" s="24">
        <v>3548735.43</v>
      </c>
      <c r="I164" s="13"/>
    </row>
    <row r="165" spans="1:9" x14ac:dyDescent="0.25">
      <c r="A165" s="27"/>
      <c r="B165" s="12"/>
      <c r="C165" s="12" t="s">
        <v>94</v>
      </c>
      <c r="D165" s="12"/>
      <c r="E165" s="12"/>
      <c r="F165" s="24">
        <v>1849138.36</v>
      </c>
      <c r="G165" s="13"/>
      <c r="H165" s="24">
        <v>3270222.85</v>
      </c>
      <c r="I165" s="13"/>
    </row>
    <row r="166" spans="1:9" x14ac:dyDescent="0.25">
      <c r="A166" s="27"/>
      <c r="B166" s="12"/>
      <c r="C166" s="12" t="s">
        <v>95</v>
      </c>
      <c r="D166" s="12"/>
      <c r="E166" s="12"/>
      <c r="F166" s="24">
        <v>2103713.5299999998</v>
      </c>
      <c r="G166" s="13"/>
      <c r="H166" s="24">
        <v>1865660.37</v>
      </c>
      <c r="I166" s="13"/>
    </row>
    <row r="167" spans="1:9" x14ac:dyDescent="0.25">
      <c r="A167" s="27"/>
      <c r="B167" s="12"/>
      <c r="C167" s="12" t="s">
        <v>96</v>
      </c>
      <c r="D167" s="12"/>
      <c r="E167" s="12"/>
      <c r="F167" s="24">
        <v>1248607.3799999999</v>
      </c>
      <c r="G167" s="13"/>
      <c r="H167" s="24">
        <v>947412.8</v>
      </c>
      <c r="I167" s="13"/>
    </row>
    <row r="168" spans="1:9" x14ac:dyDescent="0.25">
      <c r="A168" s="27"/>
      <c r="B168" s="12" t="s">
        <v>97</v>
      </c>
      <c r="C168" s="12"/>
      <c r="D168" s="12"/>
      <c r="E168" s="12"/>
      <c r="F168" s="24">
        <v>2471704.6800000002</v>
      </c>
      <c r="G168" s="13">
        <f>F168/F$159*100</f>
        <v>5.5202862829116146</v>
      </c>
      <c r="H168" s="24">
        <v>2038777.25</v>
      </c>
      <c r="I168" s="13">
        <f>H168/H$159*100</f>
        <v>4.9341651093254093</v>
      </c>
    </row>
    <row r="169" spans="1:9" x14ac:dyDescent="0.25">
      <c r="A169" s="27"/>
      <c r="B169" s="12" t="s">
        <v>98</v>
      </c>
      <c r="C169" s="12"/>
      <c r="D169" s="12"/>
      <c r="E169" s="12"/>
      <c r="F169" s="24">
        <v>-43361.2</v>
      </c>
      <c r="G169" s="13">
        <f>F169/F$159*100</f>
        <v>-9.6842571650018916E-2</v>
      </c>
      <c r="H169" s="24">
        <v>-63163.7</v>
      </c>
      <c r="I169" s="13">
        <f>H169/H$159*100</f>
        <v>-0.15286619698934611</v>
      </c>
    </row>
    <row r="170" spans="1:9" x14ac:dyDescent="0.25">
      <c r="A170" s="27"/>
      <c r="B170" s="12" t="s">
        <v>99</v>
      </c>
      <c r="C170" s="12"/>
      <c r="D170" s="12"/>
      <c r="E170" s="12"/>
      <c r="F170" s="24">
        <v>1290055.77</v>
      </c>
      <c r="G170" s="13">
        <f>F170/F$159*100</f>
        <v>2.8812006664655341</v>
      </c>
      <c r="H170" s="24">
        <v>1598700.19</v>
      </c>
      <c r="I170" s="13">
        <f>H170/H$159*100</f>
        <v>3.8691086521442708</v>
      </c>
    </row>
    <row r="171" spans="1:9" x14ac:dyDescent="0.25">
      <c r="A171" s="7" t="s">
        <v>100</v>
      </c>
      <c r="B171" s="14"/>
      <c r="C171" s="14"/>
      <c r="D171" s="14"/>
      <c r="E171" s="14"/>
      <c r="F171" s="10">
        <f>F172</f>
        <v>18443664.489999998</v>
      </c>
      <c r="G171" s="13">
        <f>F171/F$159*100</f>
        <v>41.191938873041664</v>
      </c>
      <c r="H171" s="10">
        <f>H172</f>
        <v>14823900.15</v>
      </c>
      <c r="I171" s="13">
        <f>H171/H$159*100</f>
        <v>35.876195353981757</v>
      </c>
    </row>
    <row r="172" spans="1:9" x14ac:dyDescent="0.25">
      <c r="A172" s="27"/>
      <c r="B172" s="12" t="s">
        <v>101</v>
      </c>
      <c r="C172" s="12"/>
      <c r="D172" s="12"/>
      <c r="E172" s="12"/>
      <c r="F172" s="24">
        <v>18443664.489999998</v>
      </c>
      <c r="G172" s="13"/>
      <c r="H172" s="24">
        <v>14823900.15</v>
      </c>
      <c r="I172" s="13"/>
    </row>
    <row r="173" spans="1:9" x14ac:dyDescent="0.25">
      <c r="A173" s="7" t="s">
        <v>102</v>
      </c>
      <c r="B173" s="14"/>
      <c r="C173" s="14"/>
      <c r="D173" s="14"/>
      <c r="E173" s="14"/>
      <c r="F173" s="31">
        <f>F159+F169</f>
        <v>44731575.339999996</v>
      </c>
      <c r="G173" s="13">
        <f>F173/F$159*100</f>
        <v>99.903157428349971</v>
      </c>
      <c r="H173" s="31">
        <f>H159+H169</f>
        <v>41256435.559999995</v>
      </c>
      <c r="I173" s="13">
        <f>H173/H$159*100</f>
        <v>99.847133803010649</v>
      </c>
    </row>
    <row r="174" spans="1:9" x14ac:dyDescent="0.25">
      <c r="A174" s="7" t="s">
        <v>103</v>
      </c>
      <c r="B174" s="7"/>
      <c r="C174" s="7"/>
      <c r="D174" s="7"/>
      <c r="E174" s="7"/>
      <c r="F174" s="31">
        <f>F175+F178+F181+F182+F183+F184</f>
        <v>47794875.399999999</v>
      </c>
      <c r="G174" s="9">
        <f>F174/F$159*100</f>
        <v>106.74470829746932</v>
      </c>
      <c r="H174" s="31">
        <f>H175+H178+H181+H182+H183+H184</f>
        <v>43179311.43</v>
      </c>
      <c r="I174" s="9">
        <f>H174/H$159*100</f>
        <v>104.50079914448813</v>
      </c>
    </row>
    <row r="175" spans="1:9" x14ac:dyDescent="0.25">
      <c r="A175" s="27"/>
      <c r="B175" s="14" t="s">
        <v>104</v>
      </c>
      <c r="C175" s="14"/>
      <c r="D175" s="14"/>
      <c r="E175" s="14"/>
      <c r="F175" s="10">
        <f>F176+F177</f>
        <v>17723277.140000001</v>
      </c>
      <c r="G175" s="9">
        <f>F175/F$159*100</f>
        <v>39.583031288423577</v>
      </c>
      <c r="H175" s="10">
        <f>H176+H177</f>
        <v>16494885.550000001</v>
      </c>
      <c r="I175" s="9">
        <f>H175/H$159*100</f>
        <v>39.920245707629846</v>
      </c>
    </row>
    <row r="176" spans="1:9" x14ac:dyDescent="0.25">
      <c r="A176" s="27"/>
      <c r="B176" s="12"/>
      <c r="C176" s="12" t="s">
        <v>105</v>
      </c>
      <c r="D176" s="12"/>
      <c r="E176" s="12"/>
      <c r="F176" s="24">
        <v>16287042.140000001</v>
      </c>
      <c r="G176" s="13"/>
      <c r="H176" s="24">
        <v>15255723.630000001</v>
      </c>
      <c r="I176" s="13"/>
    </row>
    <row r="177" spans="1:9" x14ac:dyDescent="0.25">
      <c r="A177" s="7"/>
      <c r="B177" s="14"/>
      <c r="C177" s="12" t="s">
        <v>106</v>
      </c>
      <c r="D177" s="12"/>
      <c r="E177" s="12"/>
      <c r="F177" s="24">
        <v>1436235</v>
      </c>
      <c r="G177" s="13"/>
      <c r="H177" s="24">
        <v>1239161.92</v>
      </c>
      <c r="I177" s="13"/>
    </row>
    <row r="178" spans="1:9" x14ac:dyDescent="0.25">
      <c r="A178" s="27"/>
      <c r="B178" s="14" t="s">
        <v>107</v>
      </c>
      <c r="C178" s="14"/>
      <c r="D178" s="14"/>
      <c r="E178" s="14"/>
      <c r="F178" s="10">
        <f>F179+F180</f>
        <v>15553505.9</v>
      </c>
      <c r="G178" s="9">
        <f>F178/F$159*100</f>
        <v>34.737080835625903</v>
      </c>
      <c r="H178" s="10">
        <f>H179+H180</f>
        <v>14074004.050000001</v>
      </c>
      <c r="I178" s="9">
        <f>H178/H$159*100</f>
        <v>34.061327558964329</v>
      </c>
    </row>
    <row r="179" spans="1:9" x14ac:dyDescent="0.25">
      <c r="A179" s="27"/>
      <c r="B179" s="12"/>
      <c r="C179" s="12" t="s">
        <v>108</v>
      </c>
      <c r="D179" s="12"/>
      <c r="E179" s="12"/>
      <c r="F179" s="24">
        <v>6817563.8499999996</v>
      </c>
      <c r="G179" s="13"/>
      <c r="H179" s="24">
        <v>6311224.3899999997</v>
      </c>
      <c r="I179" s="13"/>
    </row>
    <row r="180" spans="1:9" x14ac:dyDescent="0.25">
      <c r="A180" s="7"/>
      <c r="B180" s="14"/>
      <c r="C180" s="12" t="s">
        <v>109</v>
      </c>
      <c r="D180" s="12"/>
      <c r="E180" s="12"/>
      <c r="F180" s="24">
        <v>8735942.0500000007</v>
      </c>
      <c r="G180" s="13"/>
      <c r="H180" s="24">
        <v>7762779.6600000001</v>
      </c>
      <c r="I180" s="13"/>
    </row>
    <row r="181" spans="1:9" x14ac:dyDescent="0.25">
      <c r="A181" s="27"/>
      <c r="B181" s="14" t="s">
        <v>110</v>
      </c>
      <c r="C181" s="14"/>
      <c r="D181" s="14"/>
      <c r="E181" s="14"/>
      <c r="F181" s="10">
        <v>10250523.33</v>
      </c>
      <c r="G181" s="9">
        <f>F181/F$159*100</f>
        <v>22.893440219267813</v>
      </c>
      <c r="H181" s="10">
        <v>8402333.9700000007</v>
      </c>
      <c r="I181" s="9">
        <f>H181/H$159*100</f>
        <v>20.334984173319405</v>
      </c>
    </row>
    <row r="182" spans="1:9" x14ac:dyDescent="0.25">
      <c r="A182" s="7"/>
      <c r="B182" s="14" t="s">
        <v>111</v>
      </c>
      <c r="C182" s="14"/>
      <c r="D182" s="14"/>
      <c r="E182" s="14"/>
      <c r="F182" s="10">
        <v>1212761.3799999999</v>
      </c>
      <c r="G182" s="9">
        <f>F182/F$159*100</f>
        <v>2.7085719684193656</v>
      </c>
      <c r="H182" s="10">
        <v>1298254.58</v>
      </c>
      <c r="I182" s="9">
        <f>H182/H$159*100</f>
        <v>3.1419825052775701</v>
      </c>
    </row>
    <row r="183" spans="1:9" x14ac:dyDescent="0.25">
      <c r="A183" s="27"/>
      <c r="B183" s="14" t="s">
        <v>112</v>
      </c>
      <c r="C183" s="14"/>
      <c r="D183" s="14"/>
      <c r="E183" s="14"/>
      <c r="F183" s="10">
        <v>336315.11</v>
      </c>
      <c r="G183" s="9">
        <f>F183/F$159*100</f>
        <v>0.75112358830380599</v>
      </c>
      <c r="H183" s="10">
        <v>339753.03</v>
      </c>
      <c r="I183" s="9">
        <f>H183/H$159*100</f>
        <v>0.82225635312223999</v>
      </c>
    </row>
    <row r="184" spans="1:9" x14ac:dyDescent="0.25">
      <c r="A184" s="27"/>
      <c r="B184" s="14" t="s">
        <v>113</v>
      </c>
      <c r="C184" s="14"/>
      <c r="D184" s="14"/>
      <c r="E184" s="14"/>
      <c r="F184" s="10">
        <f>F185+F186+F189+F190+F187+F188</f>
        <v>2718492.54</v>
      </c>
      <c r="G184" s="9">
        <f>F184/F$159*100</f>
        <v>6.0714603974288517</v>
      </c>
      <c r="H184" s="10">
        <f>H185+H186+H189+H190+H187+H188</f>
        <v>2570080.2500000005</v>
      </c>
      <c r="I184" s="9">
        <f>H184/H$159*100</f>
        <v>6.220002846174749</v>
      </c>
    </row>
    <row r="185" spans="1:9" x14ac:dyDescent="0.25">
      <c r="A185" s="7"/>
      <c r="B185" s="14"/>
      <c r="C185" s="12" t="s">
        <v>114</v>
      </c>
      <c r="D185" s="12"/>
      <c r="E185" s="12"/>
      <c r="F185" s="24">
        <v>998003.96</v>
      </c>
      <c r="G185" s="9"/>
      <c r="H185" s="24">
        <v>906891.39</v>
      </c>
      <c r="I185" s="9"/>
    </row>
    <row r="186" spans="1:9" x14ac:dyDescent="0.25">
      <c r="A186" s="7"/>
      <c r="B186" s="14"/>
      <c r="C186" s="12" t="s">
        <v>115</v>
      </c>
      <c r="D186" s="12"/>
      <c r="E186" s="12"/>
      <c r="F186" s="24">
        <v>7180.06</v>
      </c>
      <c r="G186" s="13"/>
      <c r="H186" s="24">
        <v>11013.5</v>
      </c>
      <c r="I186" s="13"/>
    </row>
    <row r="187" spans="1:9" x14ac:dyDescent="0.25">
      <c r="A187" s="7"/>
      <c r="B187" s="14"/>
      <c r="C187" s="12" t="s">
        <v>116</v>
      </c>
      <c r="D187" s="12"/>
      <c r="E187" s="12"/>
      <c r="F187" s="24">
        <v>1041020.81</v>
      </c>
      <c r="G187" s="13"/>
      <c r="H187" s="24">
        <v>1075633.21</v>
      </c>
      <c r="I187" s="13"/>
    </row>
    <row r="188" spans="1:9" x14ac:dyDescent="0.25">
      <c r="A188" s="7"/>
      <c r="B188" s="14"/>
      <c r="C188" s="12" t="s">
        <v>117</v>
      </c>
      <c r="D188" s="12"/>
      <c r="E188" s="12"/>
      <c r="F188" s="24">
        <v>407969.21</v>
      </c>
      <c r="G188" s="13"/>
      <c r="H188" s="24">
        <v>346608.93</v>
      </c>
      <c r="I188" s="13"/>
    </row>
    <row r="189" spans="1:9" x14ac:dyDescent="0.25">
      <c r="A189" s="27"/>
      <c r="B189" s="12"/>
      <c r="C189" s="12" t="s">
        <v>118</v>
      </c>
      <c r="D189" s="12"/>
      <c r="E189" s="12"/>
      <c r="F189" s="24">
        <v>252532.5</v>
      </c>
      <c r="G189" s="13"/>
      <c r="H189" s="24">
        <f>216059.08-18.6</f>
        <v>216040.47999999998</v>
      </c>
      <c r="I189" s="13"/>
    </row>
    <row r="190" spans="1:9" x14ac:dyDescent="0.25">
      <c r="A190" s="27"/>
      <c r="B190" s="12"/>
      <c r="C190" s="12" t="s">
        <v>119</v>
      </c>
      <c r="D190" s="12"/>
      <c r="E190" s="12"/>
      <c r="F190" s="24">
        <v>11786</v>
      </c>
      <c r="G190" s="13"/>
      <c r="H190" s="24">
        <v>13892.74</v>
      </c>
      <c r="I190" s="13"/>
    </row>
    <row r="191" spans="1:9" x14ac:dyDescent="0.25">
      <c r="A191" s="7" t="s">
        <v>120</v>
      </c>
      <c r="B191" s="7"/>
      <c r="C191" s="7"/>
      <c r="D191" s="7"/>
      <c r="E191" s="7"/>
      <c r="F191" s="31">
        <f>F173-F174</f>
        <v>-3063300.0600000024</v>
      </c>
      <c r="G191" s="9">
        <f>F191/F$159*100</f>
        <v>-6.8415508691193399</v>
      </c>
      <c r="H191" s="31">
        <f>H173-H174</f>
        <v>-1922875.8700000048</v>
      </c>
      <c r="I191" s="9">
        <f>H191/H$159*100</f>
        <v>-4.6536653414774785</v>
      </c>
    </row>
    <row r="192" spans="1:9" x14ac:dyDescent="0.25">
      <c r="A192" s="7" t="s">
        <v>121</v>
      </c>
      <c r="B192" s="7"/>
      <c r="C192" s="7"/>
      <c r="D192" s="7"/>
      <c r="E192" s="7"/>
      <c r="F192" s="31">
        <f>[4]Plan2!$F$21</f>
        <v>4414989.5766599998</v>
      </c>
      <c r="G192" s="9"/>
      <c r="H192" s="31">
        <f>[2]Plan2!$F$21</f>
        <v>4077300.91946</v>
      </c>
      <c r="I192" s="9"/>
    </row>
    <row r="193" spans="1:9" x14ac:dyDescent="0.25">
      <c r="A193" s="7" t="s">
        <v>122</v>
      </c>
      <c r="B193" s="7"/>
      <c r="C193" s="7"/>
      <c r="D193" s="7"/>
      <c r="E193" s="7"/>
      <c r="F193" s="31">
        <f>-F192</f>
        <v>-4414989.5766599998</v>
      </c>
      <c r="G193" s="9"/>
      <c r="H193" s="31">
        <f>-H192</f>
        <v>-4077300.91946</v>
      </c>
      <c r="I193" s="9"/>
    </row>
    <row r="194" spans="1:9" x14ac:dyDescent="0.25">
      <c r="A194" s="7" t="s">
        <v>123</v>
      </c>
      <c r="B194" s="7"/>
      <c r="C194" s="7"/>
      <c r="D194" s="7"/>
      <c r="E194" s="7"/>
      <c r="F194" s="31">
        <f>SUM(F195:F202)</f>
        <v>5994395.6700000009</v>
      </c>
      <c r="G194" s="9">
        <f>F194/F$159*100</f>
        <v>13.387837333158176</v>
      </c>
      <c r="H194" s="31">
        <f>SUM(H195:H202)</f>
        <v>5677205.1399999997</v>
      </c>
      <c r="I194" s="9">
        <f>H194/H$159*100</f>
        <v>13.739739110916052</v>
      </c>
    </row>
    <row r="195" spans="1:9" x14ac:dyDescent="0.25">
      <c r="A195" s="27"/>
      <c r="B195" s="12" t="s">
        <v>124</v>
      </c>
      <c r="C195" s="12"/>
      <c r="D195" s="12"/>
      <c r="E195" s="12"/>
      <c r="F195" s="24">
        <v>49204.32</v>
      </c>
      <c r="G195" s="9"/>
      <c r="H195" s="24">
        <v>60732.52</v>
      </c>
      <c r="I195" s="9"/>
    </row>
    <row r="196" spans="1:9" x14ac:dyDescent="0.25">
      <c r="A196" s="27"/>
      <c r="B196" s="12" t="s">
        <v>228</v>
      </c>
      <c r="C196" s="12"/>
      <c r="D196" s="12"/>
      <c r="E196" s="12"/>
      <c r="F196" s="24">
        <v>1166475.6299999999</v>
      </c>
      <c r="G196" s="9"/>
      <c r="H196" s="24">
        <v>0</v>
      </c>
      <c r="I196" s="9"/>
    </row>
    <row r="197" spans="1:9" x14ac:dyDescent="0.25">
      <c r="A197" s="27"/>
      <c r="B197" s="12" t="s">
        <v>125</v>
      </c>
      <c r="C197" s="12"/>
      <c r="D197" s="12"/>
      <c r="E197" s="12"/>
      <c r="F197" s="24">
        <f>1285007.71-1166475.63</f>
        <v>118532.08000000007</v>
      </c>
      <c r="G197" s="13"/>
      <c r="H197" s="24">
        <v>257912.31</v>
      </c>
      <c r="I197" s="13"/>
    </row>
    <row r="198" spans="1:9" x14ac:dyDescent="0.25">
      <c r="A198" s="27"/>
      <c r="B198" s="12" t="s">
        <v>126</v>
      </c>
      <c r="C198" s="12"/>
      <c r="D198" s="12"/>
      <c r="E198" s="12"/>
      <c r="F198" s="24">
        <v>2868033.1</v>
      </c>
      <c r="G198" s="13"/>
      <c r="H198" s="24">
        <v>1916395.01</v>
      </c>
      <c r="I198" s="13"/>
    </row>
    <row r="199" spans="1:9" x14ac:dyDescent="0.25">
      <c r="A199" s="27"/>
      <c r="B199" s="76" t="s">
        <v>127</v>
      </c>
      <c r="C199" s="76"/>
      <c r="D199" s="76"/>
      <c r="E199" s="12"/>
      <c r="F199" s="24">
        <v>923333.12</v>
      </c>
      <c r="G199" s="13"/>
      <c r="H199" s="24">
        <v>1199755.27</v>
      </c>
      <c r="I199" s="13"/>
    </row>
    <row r="200" spans="1:9" x14ac:dyDescent="0.25">
      <c r="A200" s="27"/>
      <c r="B200" s="12" t="s">
        <v>128</v>
      </c>
      <c r="C200" s="12"/>
      <c r="D200" s="22"/>
      <c r="E200" s="12"/>
      <c r="F200" s="24">
        <v>317161.40000000002</v>
      </c>
      <c r="G200" s="13"/>
      <c r="H200" s="24">
        <v>1676699.95</v>
      </c>
      <c r="I200" s="13"/>
    </row>
    <row r="201" spans="1:9" x14ac:dyDescent="0.25">
      <c r="A201" s="27"/>
      <c r="B201" s="12" t="s">
        <v>129</v>
      </c>
      <c r="C201" s="12"/>
      <c r="D201" s="22"/>
      <c r="E201" s="12"/>
      <c r="F201" s="24">
        <v>301251.83</v>
      </c>
      <c r="G201" s="13"/>
      <c r="H201" s="24">
        <v>304280.68</v>
      </c>
      <c r="I201" s="13"/>
    </row>
    <row r="202" spans="1:9" x14ac:dyDescent="0.25">
      <c r="A202" s="27"/>
      <c r="B202" s="12" t="s">
        <v>130</v>
      </c>
      <c r="C202" s="12"/>
      <c r="D202" s="12"/>
      <c r="E202" s="12"/>
      <c r="F202" s="24">
        <v>250404.19</v>
      </c>
      <c r="G202" s="9"/>
      <c r="H202" s="24">
        <v>261429.4</v>
      </c>
      <c r="I202" s="9"/>
    </row>
    <row r="203" spans="1:9" x14ac:dyDescent="0.25">
      <c r="A203" s="7" t="s">
        <v>131</v>
      </c>
      <c r="B203" s="7"/>
      <c r="C203" s="7"/>
      <c r="D203" s="7"/>
      <c r="E203" s="7"/>
      <c r="F203" s="31">
        <f>F204</f>
        <v>2716.27</v>
      </c>
      <c r="G203" s="13"/>
      <c r="H203" s="31">
        <f>H204</f>
        <v>34680.639999999999</v>
      </c>
      <c r="I203" s="13"/>
    </row>
    <row r="204" spans="1:9" x14ac:dyDescent="0.25">
      <c r="A204" s="27"/>
      <c r="B204" s="12" t="s">
        <v>132</v>
      </c>
      <c r="C204" s="12"/>
      <c r="D204" s="12"/>
      <c r="E204" s="12"/>
      <c r="F204" s="24">
        <f>2295+421.27</f>
        <v>2716.27</v>
      </c>
      <c r="G204" s="13"/>
      <c r="H204" s="24">
        <v>34680.639999999999</v>
      </c>
      <c r="I204" s="13"/>
    </row>
    <row r="205" spans="1:9" x14ac:dyDescent="0.25">
      <c r="A205" s="7" t="s">
        <v>133</v>
      </c>
      <c r="B205" s="7"/>
      <c r="C205" s="7"/>
      <c r="D205" s="7"/>
      <c r="E205" s="7"/>
      <c r="F205" s="31">
        <f>F206</f>
        <v>2861897.56</v>
      </c>
      <c r="G205" s="9">
        <f>F205/F$159*100</f>
        <v>6.3917400696778301</v>
      </c>
      <c r="H205" s="31">
        <f>H206</f>
        <v>3240084.43</v>
      </c>
      <c r="I205" s="9">
        <f>H205/H$159*100</f>
        <v>7.8415194920261682</v>
      </c>
    </row>
    <row r="206" spans="1:9" x14ac:dyDescent="0.25">
      <c r="A206" s="27"/>
      <c r="B206" s="12" t="s">
        <v>134</v>
      </c>
      <c r="C206" s="12"/>
      <c r="D206" s="12"/>
      <c r="E206" s="12"/>
      <c r="F206" s="13">
        <v>2861897.56</v>
      </c>
      <c r="G206" s="24"/>
      <c r="H206" s="13">
        <v>3240084.43</v>
      </c>
      <c r="I206" s="24"/>
    </row>
    <row r="207" spans="1:9" x14ac:dyDescent="0.25">
      <c r="A207" s="7" t="s">
        <v>135</v>
      </c>
      <c r="B207" s="7"/>
      <c r="C207" s="7"/>
      <c r="D207" s="7"/>
      <c r="E207" s="7"/>
      <c r="F207" s="25">
        <f>F208</f>
        <v>135780.73000000001</v>
      </c>
      <c r="G207" s="9">
        <f>F207/F$159*100</f>
        <v>0.30325164141483341</v>
      </c>
      <c r="H207" s="25">
        <f>H208</f>
        <v>308227.39</v>
      </c>
      <c r="I207" s="9">
        <f>H207/H$159*100</f>
        <v>0.74595929176492215</v>
      </c>
    </row>
    <row r="208" spans="1:9" x14ac:dyDescent="0.25">
      <c r="A208" s="7"/>
      <c r="B208" s="12" t="s">
        <v>136</v>
      </c>
      <c r="C208" s="12"/>
      <c r="D208" s="12"/>
      <c r="E208" s="12"/>
      <c r="F208" s="13">
        <v>135780.73000000001</v>
      </c>
      <c r="G208" s="24"/>
      <c r="H208" s="13">
        <v>308227.39</v>
      </c>
      <c r="I208" s="24"/>
    </row>
    <row r="209" spans="1:9" x14ac:dyDescent="0.25">
      <c r="A209" s="7" t="s">
        <v>137</v>
      </c>
      <c r="B209" s="7"/>
      <c r="C209" s="7"/>
      <c r="D209" s="7"/>
      <c r="E209" s="7"/>
      <c r="F209" s="25">
        <f>(F191-F205)+F194+F207-F203</f>
        <v>202262.50999999797</v>
      </c>
      <c r="G209" s="9">
        <f>F209/F$159*100</f>
        <v>0.45173153918220599</v>
      </c>
      <c r="H209" s="25">
        <f>(H191-H205)+H194+H207-H203</f>
        <v>787791.58999999519</v>
      </c>
      <c r="I209" s="9">
        <f>H209/H$159*100</f>
        <v>1.9065809061769572</v>
      </c>
    </row>
    <row r="210" spans="1:9" x14ac:dyDescent="0.25">
      <c r="A210" s="27"/>
      <c r="B210" s="13"/>
      <c r="C210" s="12"/>
      <c r="D210" s="12"/>
      <c r="E210" s="2"/>
      <c r="F210" s="25"/>
      <c r="G210" s="18"/>
      <c r="H210" s="13"/>
      <c r="I210" s="18"/>
    </row>
    <row r="211" spans="1:9" x14ac:dyDescent="0.25">
      <c r="A211" s="12"/>
      <c r="B211" s="13"/>
      <c r="C211" s="12"/>
      <c r="D211" s="12"/>
      <c r="E211" s="2"/>
      <c r="F211" s="28"/>
      <c r="G211" s="18"/>
      <c r="H211" s="18"/>
      <c r="I211" s="18"/>
    </row>
    <row r="212" spans="1:9" x14ac:dyDescent="0.25">
      <c r="A212" s="77" t="str">
        <f>A103</f>
        <v>Carazinho, 31 de dezembro de 2.020</v>
      </c>
      <c r="B212" s="77"/>
      <c r="C212" s="77"/>
      <c r="D212" s="77"/>
      <c r="E212" s="77"/>
      <c r="F212" s="77"/>
      <c r="G212" s="77"/>
      <c r="H212" s="77"/>
      <c r="I212" s="77"/>
    </row>
    <row r="213" spans="1:9" x14ac:dyDescent="0.25">
      <c r="A213" s="12"/>
      <c r="B213" s="12"/>
      <c r="C213" s="12"/>
      <c r="D213" s="12"/>
      <c r="E213" s="12"/>
      <c r="F213" s="12"/>
      <c r="G213" s="12"/>
      <c r="H213" s="12"/>
      <c r="I213" s="12"/>
    </row>
    <row r="214" spans="1:9" x14ac:dyDescent="0.25">
      <c r="A214" s="12"/>
      <c r="B214" s="13"/>
      <c r="C214" s="12"/>
      <c r="D214" s="12"/>
      <c r="E214" s="2"/>
      <c r="F214" s="14"/>
      <c r="G214" s="12"/>
      <c r="H214" s="12"/>
      <c r="I214" s="12"/>
    </row>
    <row r="215" spans="1:9" x14ac:dyDescent="0.25">
      <c r="A215" s="12"/>
      <c r="B215" s="13"/>
      <c r="C215" s="2" t="s">
        <v>60</v>
      </c>
      <c r="D215" s="12"/>
      <c r="E215" s="2"/>
      <c r="F215" s="22"/>
      <c r="G215" s="77" t="s">
        <v>61</v>
      </c>
      <c r="H215" s="77"/>
      <c r="I215" s="6"/>
    </row>
    <row r="216" spans="1:9" x14ac:dyDescent="0.25">
      <c r="A216" s="12"/>
      <c r="B216" s="13"/>
      <c r="C216" s="2" t="s">
        <v>62</v>
      </c>
      <c r="D216" s="12"/>
      <c r="E216" s="2"/>
      <c r="F216" s="23"/>
      <c r="G216" s="77" t="s">
        <v>63</v>
      </c>
      <c r="H216" s="77"/>
      <c r="I216" s="6"/>
    </row>
    <row r="217" spans="1:9" x14ac:dyDescent="0.25">
      <c r="A217" s="12"/>
      <c r="B217" s="13"/>
      <c r="C217" s="24" t="s">
        <v>64</v>
      </c>
      <c r="D217" s="12"/>
      <c r="E217" s="2"/>
      <c r="F217" s="23"/>
      <c r="G217" s="77" t="s">
        <v>65</v>
      </c>
      <c r="H217" s="77"/>
      <c r="I217" s="6"/>
    </row>
  </sheetData>
  <mergeCells count="31">
    <mergeCell ref="G215:H215"/>
    <mergeCell ref="G216:H216"/>
    <mergeCell ref="G217:H217"/>
    <mergeCell ref="A152:I152"/>
    <mergeCell ref="A153:I153"/>
    <mergeCell ref="A155:I155"/>
    <mergeCell ref="B199:D199"/>
    <mergeCell ref="A212:I212"/>
    <mergeCell ref="G67:H67"/>
    <mergeCell ref="A74:I74"/>
    <mergeCell ref="A76:I76"/>
    <mergeCell ref="A78:E78"/>
    <mergeCell ref="A103:I103"/>
    <mergeCell ref="A1:I1"/>
    <mergeCell ref="A2:I2"/>
    <mergeCell ref="A4:I4"/>
    <mergeCell ref="A6:E6"/>
    <mergeCell ref="A66:I66"/>
    <mergeCell ref="G68:H68"/>
    <mergeCell ref="G69:H69"/>
    <mergeCell ref="G106:H106"/>
    <mergeCell ref="G107:H107"/>
    <mergeCell ref="G108:H108"/>
    <mergeCell ref="A124:I124"/>
    <mergeCell ref="B127:C127"/>
    <mergeCell ref="G127:H127"/>
    <mergeCell ref="B128:C128"/>
    <mergeCell ref="G128:H128"/>
    <mergeCell ref="B129:C129"/>
    <mergeCell ref="G129:H129"/>
    <mergeCell ref="A73:I73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DCE84-8F4E-4DDE-83C3-6187B9CCD2BB}">
  <dimension ref="A1:N51"/>
  <sheetViews>
    <sheetView topLeftCell="A25" workbookViewId="0">
      <selection sqref="A1:XFD51"/>
    </sheetView>
  </sheetViews>
  <sheetFormatPr defaultRowHeight="15" x14ac:dyDescent="0.25"/>
  <cols>
    <col min="6" max="7" width="15.7109375" bestFit="1" customWidth="1"/>
    <col min="8" max="8" width="22.5703125" bestFit="1" customWidth="1"/>
  </cols>
  <sheetData>
    <row r="1" spans="1:12" s="83" customFormat="1" ht="18" x14ac:dyDescent="0.25">
      <c r="A1" s="78" t="s">
        <v>0</v>
      </c>
      <c r="B1" s="78"/>
      <c r="C1" s="78"/>
      <c r="D1" s="78"/>
      <c r="E1" s="78"/>
      <c r="F1" s="78"/>
      <c r="G1" s="78"/>
      <c r="H1" s="78"/>
      <c r="I1" s="78"/>
    </row>
    <row r="2" spans="1:12" s="83" customFormat="1" ht="15.75" x14ac:dyDescent="0.25">
      <c r="A2" s="79" t="s">
        <v>1</v>
      </c>
      <c r="B2" s="79"/>
      <c r="C2" s="79"/>
      <c r="D2" s="79"/>
      <c r="E2" s="79"/>
      <c r="F2" s="79"/>
      <c r="G2" s="79"/>
      <c r="H2" s="79"/>
      <c r="I2" s="79"/>
    </row>
    <row r="3" spans="1:12" s="83" customFormat="1" ht="15.75" x14ac:dyDescent="0.25">
      <c r="A3" s="1"/>
      <c r="B3" s="1"/>
      <c r="C3" s="1"/>
      <c r="D3" s="1"/>
      <c r="E3" s="1"/>
      <c r="F3" s="1"/>
      <c r="G3" s="1"/>
      <c r="H3" s="1"/>
      <c r="I3" s="1"/>
    </row>
    <row r="4" spans="1:12" s="83" customFormat="1" ht="15.75" x14ac:dyDescent="0.25">
      <c r="A4" s="75" t="s">
        <v>138</v>
      </c>
      <c r="B4" s="75"/>
      <c r="C4" s="75"/>
      <c r="D4" s="75"/>
      <c r="E4" s="75"/>
      <c r="F4" s="75"/>
      <c r="G4" s="75"/>
      <c r="H4" s="75"/>
      <c r="I4" s="75"/>
    </row>
    <row r="5" spans="1:12" s="12" customFormat="1" ht="15.75" x14ac:dyDescent="0.25">
      <c r="A5" s="75" t="s">
        <v>139</v>
      </c>
      <c r="B5" s="75"/>
      <c r="C5" s="75"/>
      <c r="D5" s="75"/>
      <c r="E5" s="75"/>
      <c r="F5" s="75"/>
      <c r="G5" s="75"/>
      <c r="H5" s="75"/>
      <c r="I5" s="75"/>
    </row>
    <row r="6" spans="1:12" s="12" customFormat="1" x14ac:dyDescent="0.25">
      <c r="A6" s="7"/>
      <c r="B6" s="14"/>
      <c r="C6" s="14"/>
      <c r="D6" s="14"/>
      <c r="E6" s="14"/>
      <c r="F6" s="14"/>
      <c r="G6" s="14"/>
      <c r="H6" s="14"/>
    </row>
    <row r="7" spans="1:12" s="7" customFormat="1" x14ac:dyDescent="0.25">
      <c r="B7" s="14"/>
      <c r="C7" s="14"/>
      <c r="D7" s="14"/>
      <c r="E7" s="14"/>
      <c r="F7" s="14"/>
      <c r="G7" s="14"/>
      <c r="H7" s="14"/>
      <c r="I7" s="12"/>
    </row>
    <row r="8" spans="1:12" s="7" customFormat="1" x14ac:dyDescent="0.25">
      <c r="A8" s="7" t="s">
        <v>140</v>
      </c>
      <c r="E8" s="7" t="s">
        <v>68</v>
      </c>
      <c r="G8" s="4">
        <v>2020</v>
      </c>
      <c r="H8" s="4">
        <v>2019</v>
      </c>
    </row>
    <row r="9" spans="1:12" s="27" customFormat="1" x14ac:dyDescent="0.25">
      <c r="A9" s="7"/>
      <c r="B9" s="7" t="s">
        <v>141</v>
      </c>
      <c r="C9" s="7"/>
      <c r="D9" s="7"/>
      <c r="E9" s="7"/>
      <c r="F9" s="7"/>
      <c r="G9" s="25"/>
      <c r="H9" s="25"/>
      <c r="I9" s="7"/>
    </row>
    <row r="10" spans="1:12" s="27" customFormat="1" ht="14.25" x14ac:dyDescent="0.2">
      <c r="C10" s="27" t="s">
        <v>142</v>
      </c>
      <c r="G10" s="32">
        <f>'[5]balanço e dre '!F209</f>
        <v>202262.50999999797</v>
      </c>
      <c r="H10" s="32">
        <v>787791.58999999519</v>
      </c>
    </row>
    <row r="11" spans="1:12" s="27" customFormat="1" ht="14.25" x14ac:dyDescent="0.2">
      <c r="C11" s="27" t="s">
        <v>143</v>
      </c>
      <c r="G11" s="26">
        <v>128232.31</v>
      </c>
      <c r="H11" s="32">
        <v>63339.78</v>
      </c>
    </row>
    <row r="12" spans="1:12" s="27" customFormat="1" x14ac:dyDescent="0.25">
      <c r="A12" s="7"/>
      <c r="B12" s="7" t="s">
        <v>144</v>
      </c>
      <c r="C12" s="7"/>
      <c r="D12" s="7"/>
      <c r="E12" s="7"/>
      <c r="F12" s="7"/>
    </row>
    <row r="13" spans="1:12" s="7" customFormat="1" x14ac:dyDescent="0.25">
      <c r="A13" s="27"/>
      <c r="B13" s="27"/>
      <c r="C13" s="27" t="s">
        <v>145</v>
      </c>
      <c r="D13" s="27"/>
      <c r="E13" s="27"/>
      <c r="F13" s="27"/>
      <c r="G13" s="26">
        <f>-'[5]balanço e dre '!F62+'[5]balanço e dre '!H62</f>
        <v>998003.96</v>
      </c>
      <c r="H13" s="26">
        <v>906891.39</v>
      </c>
      <c r="I13" s="27"/>
    </row>
    <row r="14" spans="1:12" s="27" customFormat="1" x14ac:dyDescent="0.25">
      <c r="A14" s="7"/>
      <c r="B14" s="7" t="s">
        <v>146</v>
      </c>
      <c r="C14" s="7"/>
      <c r="D14" s="7"/>
      <c r="E14" s="7"/>
      <c r="F14" s="7"/>
      <c r="G14" s="25"/>
      <c r="H14" s="25"/>
      <c r="I14" s="7"/>
    </row>
    <row r="15" spans="1:12" s="84" customFormat="1" ht="14.25" x14ac:dyDescent="0.2">
      <c r="C15" s="27" t="s">
        <v>147</v>
      </c>
      <c r="D15" s="27"/>
      <c r="E15" s="27"/>
      <c r="F15" s="27"/>
      <c r="G15" s="27"/>
      <c r="H15" s="26">
        <v>515551.24</v>
      </c>
      <c r="J15" s="85"/>
    </row>
    <row r="16" spans="1:12" s="84" customFormat="1" ht="14.25" x14ac:dyDescent="0.2">
      <c r="C16" s="27" t="s">
        <v>148</v>
      </c>
      <c r="D16" s="27"/>
      <c r="E16" s="27"/>
      <c r="F16" s="27"/>
      <c r="G16" s="26">
        <v>0</v>
      </c>
      <c r="H16" s="26">
        <v>0</v>
      </c>
      <c r="L16" s="86"/>
    </row>
    <row r="17" spans="1:14" s="27" customFormat="1" ht="14.25" x14ac:dyDescent="0.2">
      <c r="C17" s="27" t="s">
        <v>149</v>
      </c>
      <c r="G17" s="26">
        <v>0</v>
      </c>
      <c r="H17" s="26">
        <v>0</v>
      </c>
      <c r="L17" s="26"/>
    </row>
    <row r="18" spans="1:14" s="7" customFormat="1" x14ac:dyDescent="0.25">
      <c r="G18" s="27"/>
      <c r="H18" s="27"/>
      <c r="I18" s="27"/>
      <c r="K18" s="25"/>
      <c r="L18" s="26"/>
    </row>
    <row r="19" spans="1:14" s="27" customFormat="1" x14ac:dyDescent="0.25">
      <c r="A19" s="7" t="s">
        <v>150</v>
      </c>
      <c r="B19" s="7"/>
      <c r="C19" s="7"/>
      <c r="D19" s="7"/>
      <c r="E19" s="7"/>
      <c r="F19" s="7"/>
      <c r="G19" s="25">
        <f>SUM(G10:G18)</f>
        <v>1328498.7799999979</v>
      </c>
      <c r="H19" s="25">
        <v>2273574</v>
      </c>
      <c r="I19" s="7"/>
    </row>
    <row r="20" spans="1:14" s="7" customFormat="1" x14ac:dyDescent="0.25">
      <c r="G20" s="27"/>
      <c r="H20" s="27"/>
      <c r="I20" s="27"/>
    </row>
    <row r="21" spans="1:14" s="7" customFormat="1" x14ac:dyDescent="0.25">
      <c r="A21" s="7" t="s">
        <v>151</v>
      </c>
    </row>
    <row r="22" spans="1:14" s="27" customFormat="1" x14ac:dyDescent="0.25">
      <c r="A22" s="7"/>
      <c r="B22" s="7"/>
      <c r="C22" s="27" t="s">
        <v>152</v>
      </c>
      <c r="D22" s="7"/>
      <c r="E22" s="7"/>
      <c r="F22" s="7"/>
      <c r="G22" s="26">
        <f>'[5]balanço e dre '!H92-'[5]balanço e dre '!F92</f>
        <v>145084.49000000022</v>
      </c>
      <c r="H22" s="26">
        <v>0</v>
      </c>
      <c r="I22" s="7"/>
    </row>
    <row r="23" spans="1:14" s="84" customFormat="1" ht="14.25" x14ac:dyDescent="0.2">
      <c r="C23" s="27" t="s">
        <v>36</v>
      </c>
      <c r="D23" s="27"/>
      <c r="E23" s="27"/>
      <c r="F23" s="27"/>
      <c r="G23" s="32">
        <f>'[5]balanço e dre '!F38-'[5]balanço e dre '!H38</f>
        <v>16694.109999999993</v>
      </c>
      <c r="H23" s="32">
        <v>0</v>
      </c>
      <c r="J23" s="85"/>
    </row>
    <row r="24" spans="1:14" s="84" customFormat="1" ht="14.25" x14ac:dyDescent="0.2">
      <c r="C24" s="27" t="s">
        <v>153</v>
      </c>
      <c r="D24" s="27"/>
      <c r="E24" s="27"/>
      <c r="F24" s="27"/>
      <c r="G24" s="32">
        <f>'[5]balanço e dre '!F41+'[5]balanço e dre '!F58-'[5]balanço e dre '!H41-'[5]balanço e dre '!H58</f>
        <v>3604885.939999999</v>
      </c>
      <c r="H24" s="32">
        <v>869875.61000000464</v>
      </c>
      <c r="J24" s="85"/>
    </row>
    <row r="25" spans="1:14" s="27" customFormat="1" ht="14.25" x14ac:dyDescent="0.2">
      <c r="C25" s="27" t="s">
        <v>154</v>
      </c>
      <c r="G25" s="32">
        <f>'[5]balanço e dre '!F34-'[5]balanço e dre '!H34</f>
        <v>1046205.6599999999</v>
      </c>
      <c r="H25" s="32">
        <v>47106.470000000088</v>
      </c>
      <c r="K25" s="87"/>
      <c r="L25" s="87"/>
    </row>
    <row r="26" spans="1:14" s="27" customFormat="1" ht="14.25" x14ac:dyDescent="0.2">
      <c r="G26" s="32"/>
      <c r="H26" s="32"/>
      <c r="J26" s="32"/>
      <c r="K26" s="32"/>
    </row>
    <row r="27" spans="1:14" s="7" customFormat="1" x14ac:dyDescent="0.25">
      <c r="G27" s="27"/>
      <c r="H27" s="27"/>
      <c r="I27" s="27"/>
      <c r="J27" s="88"/>
    </row>
    <row r="28" spans="1:14" s="7" customFormat="1" x14ac:dyDescent="0.25">
      <c r="A28" s="7" t="s">
        <v>155</v>
      </c>
      <c r="G28" s="25">
        <f>SUM(G22:G26)</f>
        <v>4812870.1999999993</v>
      </c>
      <c r="H28" s="25">
        <v>916982.08000000473</v>
      </c>
    </row>
    <row r="29" spans="1:14" s="27" customFormat="1" x14ac:dyDescent="0.25">
      <c r="A29" s="7" t="s">
        <v>156</v>
      </c>
      <c r="B29" s="7"/>
      <c r="C29" s="7"/>
      <c r="D29" s="7"/>
      <c r="E29" s="7"/>
      <c r="F29" s="7"/>
      <c r="G29" s="25">
        <f>G19-G28</f>
        <v>-3484371.4200000013</v>
      </c>
      <c r="H29" s="25">
        <v>1356591.9199999906</v>
      </c>
      <c r="I29" s="7"/>
      <c r="J29" s="87"/>
      <c r="N29" s="87"/>
    </row>
    <row r="30" spans="1:14" s="27" customFormat="1" x14ac:dyDescent="0.25">
      <c r="A30" s="7"/>
      <c r="B30" s="7"/>
      <c r="C30" s="7"/>
      <c r="D30" s="7"/>
      <c r="E30" s="7"/>
      <c r="F30" s="7"/>
      <c r="G30" s="25"/>
      <c r="H30" s="25"/>
      <c r="J30" s="32"/>
      <c r="K30" s="87"/>
    </row>
    <row r="31" spans="1:14" s="7" customFormat="1" x14ac:dyDescent="0.25">
      <c r="A31" s="27"/>
      <c r="B31" s="27"/>
      <c r="C31" s="27"/>
      <c r="D31" s="27"/>
      <c r="E31" s="27"/>
      <c r="F31" s="27"/>
      <c r="G31" s="26"/>
      <c r="H31" s="26"/>
      <c r="I31" s="32"/>
    </row>
    <row r="32" spans="1:14" s="7" customFormat="1" x14ac:dyDescent="0.25">
      <c r="A32" s="80" t="s">
        <v>157</v>
      </c>
      <c r="B32" s="80"/>
      <c r="C32" s="80"/>
      <c r="D32" s="80"/>
      <c r="E32" s="80"/>
      <c r="F32" s="80"/>
      <c r="G32" s="80"/>
      <c r="H32" s="80"/>
      <c r="I32" s="80"/>
      <c r="J32" s="20"/>
    </row>
    <row r="33" spans="1:12" s="27" customFormat="1" x14ac:dyDescent="0.25">
      <c r="A33" s="7"/>
      <c r="B33" s="7"/>
      <c r="C33" s="7"/>
      <c r="D33" s="7"/>
      <c r="E33" s="7"/>
      <c r="F33" s="7"/>
      <c r="G33" s="25"/>
      <c r="H33" s="25"/>
      <c r="I33" s="7"/>
      <c r="K33" s="32"/>
    </row>
    <row r="34" spans="1:12" s="27" customFormat="1" x14ac:dyDescent="0.25">
      <c r="E34" s="4"/>
      <c r="F34" s="4">
        <v>2020</v>
      </c>
      <c r="G34" s="4">
        <v>2019</v>
      </c>
      <c r="H34" s="31" t="s">
        <v>158</v>
      </c>
      <c r="I34" s="32"/>
      <c r="J34" s="87"/>
      <c r="K34" s="32"/>
    </row>
    <row r="35" spans="1:12" s="27" customFormat="1" ht="14.25" x14ac:dyDescent="0.2">
      <c r="C35" s="27" t="s">
        <v>159</v>
      </c>
      <c r="E35" s="26"/>
      <c r="F35" s="26">
        <f>'[5]balanço e dre '!F7</f>
        <v>10585612.01</v>
      </c>
      <c r="G35" s="26">
        <v>13323478.149999997</v>
      </c>
      <c r="H35" s="26">
        <f>F35-G35</f>
        <v>-2737866.1399999969</v>
      </c>
      <c r="I35" s="32"/>
      <c r="K35" s="32"/>
    </row>
    <row r="36" spans="1:12" s="7" customFormat="1" x14ac:dyDescent="0.25">
      <c r="A36" s="27"/>
      <c r="B36" s="27"/>
      <c r="C36" s="27" t="s">
        <v>160</v>
      </c>
      <c r="D36" s="27"/>
      <c r="E36" s="26"/>
      <c r="F36" s="26">
        <f>'[5]balanço e dre '!F79</f>
        <v>17069662.460000001</v>
      </c>
      <c r="G36" s="26">
        <v>16323157.18</v>
      </c>
      <c r="H36" s="26">
        <f>F36-G36</f>
        <v>746505.28000000119</v>
      </c>
      <c r="I36" s="27"/>
      <c r="J36" s="20"/>
      <c r="L36" s="88"/>
    </row>
    <row r="37" spans="1:12" s="7" customFormat="1" x14ac:dyDescent="0.25">
      <c r="C37" s="7" t="s">
        <v>161</v>
      </c>
      <c r="E37" s="25"/>
      <c r="F37" s="25">
        <f>F35-F36</f>
        <v>-6484050.4500000011</v>
      </c>
      <c r="G37" s="25">
        <v>-2999679.03</v>
      </c>
      <c r="H37" s="25">
        <f>F37-G37</f>
        <v>-3484371.4200000013</v>
      </c>
      <c r="I37" s="20"/>
      <c r="J37" s="88"/>
    </row>
    <row r="38" spans="1:12" s="27" customFormat="1" x14ac:dyDescent="0.25">
      <c r="A38" s="7"/>
      <c r="B38" s="7"/>
      <c r="C38" s="7"/>
      <c r="D38" s="7"/>
      <c r="E38" s="25"/>
      <c r="F38" s="25"/>
      <c r="G38" s="25"/>
      <c r="H38" s="25"/>
      <c r="I38" s="7"/>
    </row>
    <row r="39" spans="1:12" s="27" customFormat="1" x14ac:dyDescent="0.25">
      <c r="E39" s="4"/>
      <c r="F39" s="4">
        <v>2019</v>
      </c>
      <c r="G39" s="4">
        <v>2018</v>
      </c>
      <c r="H39" s="31" t="s">
        <v>158</v>
      </c>
      <c r="J39" s="87"/>
    </row>
    <row r="40" spans="1:12" s="27" customFormat="1" ht="14.25" x14ac:dyDescent="0.2">
      <c r="C40" s="27" t="s">
        <v>159</v>
      </c>
      <c r="E40" s="26"/>
      <c r="F40" s="26">
        <v>13323478.149999997</v>
      </c>
      <c r="G40" s="26">
        <v>10015502.620000001</v>
      </c>
      <c r="H40" s="26">
        <f>F40-G40</f>
        <v>3307975.5299999956</v>
      </c>
    </row>
    <row r="41" spans="1:12" s="7" customFormat="1" x14ac:dyDescent="0.25">
      <c r="A41" s="27"/>
      <c r="B41" s="27"/>
      <c r="C41" s="27" t="s">
        <v>160</v>
      </c>
      <c r="D41" s="27"/>
      <c r="E41" s="26"/>
      <c r="F41" s="26">
        <v>16323157.18</v>
      </c>
      <c r="G41" s="26">
        <v>14371773.57</v>
      </c>
      <c r="H41" s="26">
        <f>F41-G41</f>
        <v>1951383.6099999994</v>
      </c>
      <c r="I41" s="27"/>
    </row>
    <row r="42" spans="1:12" s="12" customFormat="1" x14ac:dyDescent="0.25">
      <c r="A42" s="7"/>
      <c r="B42" s="7"/>
      <c r="C42" s="7" t="s">
        <v>161</v>
      </c>
      <c r="D42" s="7"/>
      <c r="E42" s="25"/>
      <c r="F42" s="25">
        <v>-2999679.03</v>
      </c>
      <c r="G42" s="25">
        <v>-4356270.95</v>
      </c>
      <c r="H42" s="25">
        <f>H40-H41</f>
        <v>1356591.9199999962</v>
      </c>
      <c r="I42" s="7"/>
      <c r="J42" s="89"/>
    </row>
    <row r="43" spans="1:12" s="12" customFormat="1" ht="14.25" x14ac:dyDescent="0.2">
      <c r="A43" s="27"/>
      <c r="G43" s="13"/>
      <c r="H43" s="13"/>
    </row>
    <row r="44" spans="1:12" s="12" customFormat="1" ht="14.25" x14ac:dyDescent="0.2">
      <c r="A44" s="27"/>
      <c r="G44" s="13"/>
      <c r="H44" s="13"/>
    </row>
    <row r="45" spans="1:12" s="12" customFormat="1" ht="14.25" x14ac:dyDescent="0.2">
      <c r="A45" s="27"/>
      <c r="G45" s="13"/>
      <c r="H45" s="13"/>
    </row>
    <row r="46" spans="1:12" s="12" customFormat="1" ht="12.75" x14ac:dyDescent="0.2">
      <c r="A46" s="77" t="str">
        <f>'[5]balanço e dre '!A66:I66</f>
        <v>Carazinho, 31 de dezembro de 2.020</v>
      </c>
      <c r="B46" s="77"/>
      <c r="C46" s="77"/>
      <c r="D46" s="77"/>
      <c r="E46" s="77"/>
      <c r="F46" s="77"/>
      <c r="G46" s="77"/>
      <c r="H46" s="77"/>
      <c r="I46" s="77"/>
    </row>
    <row r="47" spans="1:12" s="12" customFormat="1" ht="14.25" x14ac:dyDescent="0.2">
      <c r="A47" s="27"/>
    </row>
    <row r="48" spans="1:12" s="12" customFormat="1" ht="14.25" x14ac:dyDescent="0.2">
      <c r="A48" s="27"/>
    </row>
    <row r="49" spans="1:8" s="12" customFormat="1" ht="14.25" x14ac:dyDescent="0.2">
      <c r="A49" s="27"/>
      <c r="B49" s="2"/>
      <c r="C49" s="2" t="s">
        <v>60</v>
      </c>
      <c r="H49" s="2" t="s">
        <v>61</v>
      </c>
    </row>
    <row r="50" spans="1:8" s="12" customFormat="1" ht="14.25" x14ac:dyDescent="0.2">
      <c r="A50" s="27"/>
      <c r="B50" s="2"/>
      <c r="C50" s="2" t="s">
        <v>62</v>
      </c>
      <c r="H50" s="2" t="s">
        <v>63</v>
      </c>
    </row>
    <row r="51" spans="1:8" s="12" customFormat="1" ht="14.25" x14ac:dyDescent="0.2">
      <c r="A51" s="27"/>
      <c r="B51" s="24"/>
      <c r="C51" s="24" t="s">
        <v>64</v>
      </c>
      <c r="H51" s="2" t="s">
        <v>65</v>
      </c>
    </row>
  </sheetData>
  <mergeCells count="6">
    <mergeCell ref="A46:I46"/>
    <mergeCell ref="A1:I1"/>
    <mergeCell ref="A2:I2"/>
    <mergeCell ref="A4:I4"/>
    <mergeCell ref="A5:I5"/>
    <mergeCell ref="A32:I3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FE4B7-B8C5-46FF-A087-9F05AC399C09}">
  <dimension ref="A1:AO59"/>
  <sheetViews>
    <sheetView workbookViewId="0">
      <selection activeCell="H53" sqref="H53"/>
    </sheetView>
  </sheetViews>
  <sheetFormatPr defaultRowHeight="15" x14ac:dyDescent="0.25"/>
  <cols>
    <col min="1" max="1" width="38.5703125" bestFit="1" customWidth="1"/>
    <col min="2" max="2" width="12.42578125" bestFit="1" customWidth="1"/>
    <col min="3" max="3" width="29" bestFit="1" customWidth="1"/>
    <col min="4" max="8" width="12.42578125" bestFit="1" customWidth="1"/>
    <col min="9" max="9" width="22.5703125" bestFit="1" customWidth="1"/>
    <col min="10" max="10" width="12.42578125" bestFit="1" customWidth="1"/>
    <col min="11" max="11" width="13.140625" bestFit="1" customWidth="1"/>
    <col min="12" max="12" width="12.42578125" bestFit="1" customWidth="1"/>
    <col min="13" max="13" width="13.140625" bestFit="1" customWidth="1"/>
  </cols>
  <sheetData>
    <row r="1" spans="1:27" s="33" customFormat="1" ht="12" x14ac:dyDescent="0.2">
      <c r="B1" s="34"/>
      <c r="C1" s="34"/>
      <c r="D1" s="34"/>
      <c r="E1" s="34"/>
      <c r="F1" s="34"/>
      <c r="G1" s="34"/>
      <c r="H1" s="35"/>
      <c r="I1" s="35"/>
      <c r="K1" s="35"/>
      <c r="L1" s="35"/>
      <c r="M1" s="35"/>
    </row>
    <row r="2" spans="1:27" s="30" customFormat="1" ht="12.75" customHeight="1" x14ac:dyDescent="0.25">
      <c r="A2" s="81" t="s">
        <v>162</v>
      </c>
      <c r="B2" s="81"/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</row>
    <row r="3" spans="1:27" s="33" customFormat="1" ht="12" x14ac:dyDescent="0.2">
      <c r="A3" s="36"/>
      <c r="B3" s="37"/>
      <c r="C3" s="38"/>
      <c r="D3" s="38"/>
      <c r="E3" s="38"/>
      <c r="F3" s="38"/>
      <c r="G3" s="38"/>
      <c r="H3" s="39"/>
      <c r="I3" s="40"/>
      <c r="J3" s="41"/>
      <c r="K3" s="40"/>
      <c r="L3" s="40"/>
      <c r="M3" s="40"/>
    </row>
    <row r="4" spans="1:27" s="33" customFormat="1" ht="12" x14ac:dyDescent="0.2">
      <c r="A4" s="42"/>
      <c r="B4" s="43"/>
      <c r="C4" s="44"/>
      <c r="D4" s="44"/>
      <c r="E4" s="44"/>
      <c r="F4" s="44"/>
      <c r="G4" s="44"/>
      <c r="H4" s="45"/>
      <c r="I4" s="46"/>
      <c r="K4" s="46"/>
      <c r="L4" s="46"/>
      <c r="M4" s="46"/>
    </row>
    <row r="5" spans="1:27" s="33" customFormat="1" ht="12" x14ac:dyDescent="0.2">
      <c r="A5" s="47" t="s">
        <v>163</v>
      </c>
      <c r="B5" s="48">
        <v>43831</v>
      </c>
      <c r="C5" s="48">
        <v>43862</v>
      </c>
      <c r="D5" s="48">
        <v>43891</v>
      </c>
      <c r="E5" s="48">
        <v>43922</v>
      </c>
      <c r="F5" s="48">
        <v>43952</v>
      </c>
      <c r="G5" s="48">
        <v>43983</v>
      </c>
      <c r="H5" s="48">
        <v>44013</v>
      </c>
      <c r="I5" s="48">
        <v>44044</v>
      </c>
      <c r="J5" s="48">
        <v>44075</v>
      </c>
      <c r="K5" s="48">
        <v>44105</v>
      </c>
      <c r="L5" s="48">
        <v>44136</v>
      </c>
      <c r="M5" s="48">
        <v>44166</v>
      </c>
    </row>
    <row r="6" spans="1:27" s="33" customFormat="1" ht="12" x14ac:dyDescent="0.2">
      <c r="A6" s="47"/>
      <c r="B6" s="49" t="s">
        <v>164</v>
      </c>
      <c r="C6" s="49" t="s">
        <v>164</v>
      </c>
      <c r="D6" s="49" t="s">
        <v>164</v>
      </c>
      <c r="E6" s="49" t="s">
        <v>164</v>
      </c>
      <c r="F6" s="49" t="s">
        <v>164</v>
      </c>
      <c r="G6" s="49" t="s">
        <v>164</v>
      </c>
      <c r="H6" s="49" t="s">
        <v>164</v>
      </c>
      <c r="I6" s="49" t="s">
        <v>164</v>
      </c>
      <c r="J6" s="49" t="s">
        <v>164</v>
      </c>
      <c r="K6" s="49" t="s">
        <v>164</v>
      </c>
      <c r="L6" s="49" t="s">
        <v>164</v>
      </c>
      <c r="M6" s="49" t="s">
        <v>164</v>
      </c>
    </row>
    <row r="7" spans="1:27" s="33" customFormat="1" ht="12" x14ac:dyDescent="0.2">
      <c r="A7" s="50" t="s">
        <v>165</v>
      </c>
      <c r="B7" s="90">
        <f t="shared" ref="B7:M7" si="0">B8+B9</f>
        <v>3244014.9599999995</v>
      </c>
      <c r="C7" s="90">
        <f t="shared" si="0"/>
        <v>4319315.5600000005</v>
      </c>
      <c r="D7" s="90">
        <f t="shared" si="0"/>
        <v>3629846.3699999982</v>
      </c>
      <c r="E7" s="90">
        <f t="shared" si="0"/>
        <v>2939778.6700000004</v>
      </c>
      <c r="F7" s="90">
        <f t="shared" si="0"/>
        <v>3463173.0100000012</v>
      </c>
      <c r="G7" s="90">
        <f t="shared" si="0"/>
        <v>4098455.4699999993</v>
      </c>
      <c r="H7" s="90">
        <f t="shared" si="0"/>
        <v>3357276.3800000018</v>
      </c>
      <c r="I7" s="90">
        <f t="shared" si="0"/>
        <v>3943732.1799999992</v>
      </c>
      <c r="J7" s="90">
        <f t="shared" si="0"/>
        <v>4588836.7500000019</v>
      </c>
      <c r="K7" s="90">
        <f t="shared" si="0"/>
        <v>3784409.5399999972</v>
      </c>
      <c r="L7" s="90">
        <f t="shared" si="0"/>
        <v>4705343.209999999</v>
      </c>
      <c r="M7" s="90">
        <f t="shared" si="0"/>
        <v>7546453.7599999998</v>
      </c>
    </row>
    <row r="8" spans="1:27" s="30" customFormat="1" ht="12" x14ac:dyDescent="0.2">
      <c r="A8" s="33" t="s">
        <v>166</v>
      </c>
      <c r="B8" s="44">
        <f>'[3]balancete 2020'!C100+'[3]balancete 2020'!B11-'[3]balancete 2020'!C11</f>
        <v>3399211.8499999996</v>
      </c>
      <c r="C8" s="44">
        <f>'[3]balancete 2020'!D100+'[3]balancete 2020'!C11-'[3]balancete 2020'!D11</f>
        <v>3895346.2100000009</v>
      </c>
      <c r="D8" s="44">
        <f>'[3]balancete 2020'!E100+'[3]balancete 2020'!D11-'[3]balancete 2020'!E11</f>
        <v>3654041.7499999981</v>
      </c>
      <c r="E8" s="44">
        <f>'[3]balancete 2020'!F100+'[3]balancete 2020'!E11-'[3]balancete 2020'!F11</f>
        <v>3024823.8900000006</v>
      </c>
      <c r="F8" s="44">
        <f>'[3]balancete 2020'!G100+'[3]balancete 2020'!F11-'[3]balancete 2020'!G11</f>
        <v>3476890.7000000011</v>
      </c>
      <c r="G8" s="44">
        <f>'[3]balancete 2020'!H100+'[3]balancete 2020'!G11-'[3]balancete 2020'!H11</f>
        <v>3805562.1599999992</v>
      </c>
      <c r="H8" s="44">
        <f>'[3]balancete 2020'!I100+'[3]balancete 2020'!H11-'[3]balancete 2020'!I11</f>
        <v>3501100.6700000018</v>
      </c>
      <c r="I8" s="44">
        <f>'[3]balancete 2020'!J100+'[3]balancete 2020'!I11-'[3]balancete 2020'!J11</f>
        <v>3803356.4499999993</v>
      </c>
      <c r="J8" s="44">
        <f>'[3]balancete 2020'!K100+'[3]balancete 2020'!J11-'[3]balancete 2020'!K11</f>
        <v>4620584.8800000018</v>
      </c>
      <c r="K8" s="44">
        <f>'[3]balancete 2020'!L100+'[3]balancete 2020'!K11-'[3]balancete 2020'!L11</f>
        <v>4302161.7199999969</v>
      </c>
      <c r="L8" s="44">
        <f>'[3]balancete 2020'!M100+'[3]balancete 2020'!L11-'[3]balancete 2020'!M11</f>
        <v>4659601.5999999996</v>
      </c>
      <c r="M8" s="44">
        <f>'[3]balancete 2020'!N100+'[3]balancete 2020'!M11-'[3]balancete 2020'!N11</f>
        <v>7058382.75</v>
      </c>
    </row>
    <row r="9" spans="1:27" s="30" customFormat="1" ht="12" x14ac:dyDescent="0.2">
      <c r="A9" s="33" t="s">
        <v>167</v>
      </c>
      <c r="B9" s="44">
        <f xml:space="preserve"> ('[3]balancete 2020'!B21+'[3]balancete 2020'!B26+'[3]balancete 2020'!B25)- ('[3]balancete 2020'!C21+'[3]balancete 2020'!C26+'[3]balancete 2020'!C25)</f>
        <v>-155196.89000000001</v>
      </c>
      <c r="C9" s="44">
        <f xml:space="preserve"> ('[3]balancete 2020'!C21+'[3]balancete 2020'!C26+'[3]balancete 2020'!C25)- ('[3]balancete 2020'!D21+'[3]balancete 2020'!D26+'[3]balancete 2020'!D25)</f>
        <v>423969.35</v>
      </c>
      <c r="D9" s="44">
        <f xml:space="preserve"> ('[3]balancete 2020'!D21+'[3]balancete 2020'!D26+'[3]balancete 2020'!D25)- ('[3]balancete 2020'!E21+'[3]balancete 2020'!E26+'[3]balancete 2020'!E25)</f>
        <v>-24195.379999999946</v>
      </c>
      <c r="E9" s="44">
        <f xml:space="preserve"> ('[3]balancete 2020'!E21+'[3]balancete 2020'!E26+'[3]balancete 2020'!E25)- ('[3]balancete 2020'!F21+'[3]balancete 2020'!F26+'[3]balancete 2020'!F25)</f>
        <v>-85045.22000000003</v>
      </c>
      <c r="F9" s="44">
        <f xml:space="preserve"> ('[3]balancete 2020'!F21+'[3]balancete 2020'!F26+'[3]balancete 2020'!F25)- ('[3]balancete 2020'!G21+'[3]balancete 2020'!G26+'[3]balancete 2020'!G25)</f>
        <v>-13717.689999999944</v>
      </c>
      <c r="G9" s="44">
        <f xml:space="preserve"> ('[3]balancete 2020'!G21+'[3]balancete 2020'!G26+'[3]balancete 2020'!G25)- ('[3]balancete 2020'!H21+'[3]balancete 2020'!H26+'[3]balancete 2020'!H25)</f>
        <v>292893.30999999994</v>
      </c>
      <c r="H9" s="44">
        <f xml:space="preserve"> ('[3]balancete 2020'!H21+'[3]balancete 2020'!H26+'[3]balancete 2020'!H25)- ('[3]balancete 2020'!I21+'[3]balancete 2020'!I26+'[3]balancete 2020'!I25)</f>
        <v>-143824.29</v>
      </c>
      <c r="I9" s="44">
        <f xml:space="preserve"> ('[3]balancete 2020'!I21+'[3]balancete 2020'!I26+'[3]balancete 2020'!I25)- ('[3]balancete 2020'!J21+'[3]balancete 2020'!J26+'[3]balancete 2020'!J25)</f>
        <v>140375.72999999998</v>
      </c>
      <c r="J9" s="44">
        <f xml:space="preserve"> ('[3]balancete 2020'!J21+'[3]balancete 2020'!J26+'[3]balancete 2020'!J25)- ('[3]balancete 2020'!K21+'[3]balancete 2020'!K26+'[3]balancete 2020'!K25)</f>
        <v>-31748.129999999976</v>
      </c>
      <c r="K9" s="44">
        <f xml:space="preserve"> ('[3]balancete 2020'!K21+'[3]balancete 2020'!K26+'[3]balancete 2020'!K25)- ('[3]balancete 2020'!L21+'[3]balancete 2020'!L26+'[3]balancete 2020'!L25)</f>
        <v>-517752.17999999993</v>
      </c>
      <c r="L9" s="44">
        <f xml:space="preserve"> ('[3]balancete 2020'!L21+'[3]balancete 2020'!L26+'[3]balancete 2020'!L25)- ('[3]balancete 2020'!M21+'[3]balancete 2020'!M26+'[3]balancete 2020'!M25)</f>
        <v>45741.60999999987</v>
      </c>
      <c r="M9" s="44">
        <f xml:space="preserve"> ('[3]balancete 2020'!M21+'[3]balancete 2020'!M26+'[3]balancete 2020'!M25)- ('[3]balancete 2020'!N21+'[3]balancete 2020'!N26+'[3]balancete 2020'!N25)</f>
        <v>488071.01</v>
      </c>
    </row>
    <row r="10" spans="1:27" s="33" customFormat="1" ht="12" x14ac:dyDescent="0.2">
      <c r="A10" s="51" t="s">
        <v>168</v>
      </c>
      <c r="B10" s="90">
        <f t="shared" ref="B10:M10" si="1">SUM(B11:B15)</f>
        <v>2157734.4399999976</v>
      </c>
      <c r="C10" s="90">
        <f t="shared" si="1"/>
        <v>3612529.4000000013</v>
      </c>
      <c r="D10" s="90">
        <f t="shared" si="1"/>
        <v>3713207.7800000017</v>
      </c>
      <c r="E10" s="90">
        <f t="shared" si="1"/>
        <v>3590080</v>
      </c>
      <c r="F10" s="90">
        <f t="shared" si="1"/>
        <v>3173663.1700000023</v>
      </c>
      <c r="G10" s="90">
        <f t="shared" si="1"/>
        <v>3723229.1799999974</v>
      </c>
      <c r="H10" s="90">
        <f t="shared" si="1"/>
        <v>3569872.6700000013</v>
      </c>
      <c r="I10" s="90">
        <f t="shared" si="1"/>
        <v>4173724.7899999991</v>
      </c>
      <c r="J10" s="90">
        <f t="shared" si="1"/>
        <v>3972351.200000003</v>
      </c>
      <c r="K10" s="90">
        <f t="shared" si="1"/>
        <v>4441026.839999998</v>
      </c>
      <c r="L10" s="90">
        <f t="shared" si="1"/>
        <v>4418118.6400000015</v>
      </c>
      <c r="M10" s="90">
        <f t="shared" si="1"/>
        <v>6139703.7000000002</v>
      </c>
    </row>
    <row r="11" spans="1:27" s="33" customFormat="1" ht="12" x14ac:dyDescent="0.2">
      <c r="A11" s="30" t="s">
        <v>169</v>
      </c>
      <c r="B11" s="44">
        <f>('[3]balancete 2020'!C121+'[3]balancete 2020'!C122+'[3]balancete 2020'!C18+'[3]balancete 2020'!B51)-('[3]balancete 2020'!B18+'[3]balancete 2020'!C51)</f>
        <v>-397513.26000000071</v>
      </c>
      <c r="C11" s="44">
        <f>('[3]balancete 2020'!D121+'[3]balancete 2020'!D122+'[3]balancete 2020'!D18+'[3]balancete 2020'!C51)-('[3]balancete 2020'!C18+'[3]balancete 2020'!D51)</f>
        <v>704689.90000000037</v>
      </c>
      <c r="D11" s="44">
        <f>('[3]balancete 2020'!E121+'[3]balancete 2020'!E122+'[3]balancete 2020'!E18+'[3]balancete 2020'!D51)-('[3]balancete 2020'!D18+'[3]balancete 2020'!E51)</f>
        <v>902035.43000000156</v>
      </c>
      <c r="E11" s="44">
        <f>('[3]balancete 2020'!F121+'[3]balancete 2020'!F122+'[3]balancete 2020'!F18+'[3]balancete 2020'!E51)-('[3]balancete 2020'!E18+'[3]balancete 2020'!F51)</f>
        <v>952938.68999999948</v>
      </c>
      <c r="F11" s="44">
        <f>('[3]balancete 2020'!G121+'[3]balancete 2020'!G122+'[3]balancete 2020'!G18+'[3]balancete 2020'!F51)-('[3]balancete 2020'!F18+'[3]balancete 2020'!G51)</f>
        <v>599625.46000000089</v>
      </c>
      <c r="G11" s="44">
        <f>('[3]balancete 2020'!H121+'[3]balancete 2020'!H122+'[3]balancete 2020'!H18+'[3]balancete 2020'!G51)-('[3]balancete 2020'!G18+'[3]balancete 2020'!H51)</f>
        <v>1070618.5499999989</v>
      </c>
      <c r="H11" s="44">
        <f>('[3]balancete 2020'!I121+'[3]balancete 2020'!I122+'[3]balancete 2020'!I18+'[3]balancete 2020'!H51)-('[3]balancete 2020'!H18+'[3]balancete 2020'!I51)</f>
        <v>682271.00000000093</v>
      </c>
      <c r="I11" s="44">
        <f>('[3]balancete 2020'!J121+'[3]balancete 2020'!J122+'[3]balancete 2020'!J18+'[3]balancete 2020'!I51)-('[3]balancete 2020'!I18+'[3]balancete 2020'!J51)</f>
        <v>1202875.6600000001</v>
      </c>
      <c r="J11" s="44">
        <f>('[3]balancete 2020'!K121+'[3]balancete 2020'!K122+'[3]balancete 2020'!K18+'[3]balancete 2020'!J51)-('[3]balancete 2020'!J18+'[3]balancete 2020'!K51)</f>
        <v>822922.06000000052</v>
      </c>
      <c r="K11" s="44">
        <f>('[3]balancete 2020'!L121+'[3]balancete 2020'!L122+'[3]balancete 2020'!L18+'[3]balancete 2020'!K51)-('[3]balancete 2020'!K18+'[3]balancete 2020'!L51)</f>
        <v>810232.90999999829</v>
      </c>
      <c r="L11" s="44">
        <f>('[3]balancete 2020'!M121+'[3]balancete 2020'!M122+'[3]balancete 2020'!M18+'[3]balancete 2020'!L51)-('[3]balancete 2020'!L18+'[3]balancete 2020'!M51)</f>
        <v>1159334.4200000009</v>
      </c>
      <c r="M11" s="44">
        <f>('[3]balancete 2020'!N121+'[3]balancete 2020'!N122+'[3]balancete 2020'!N18+'[3]balancete 2020'!M51)-('[3]balancete 2020'!M18+'[3]balancete 2020'!N51)</f>
        <v>1413162.92</v>
      </c>
    </row>
    <row r="12" spans="1:27" s="33" customFormat="1" ht="12" x14ac:dyDescent="0.2">
      <c r="A12" s="33" t="s">
        <v>170</v>
      </c>
      <c r="B12" s="44">
        <f>'[3]balancete 2020'!C115+'[3]balancete 2020'!B52+'[3]balancete 2020'!B53-'[3]balancete 2020'!C52-'[3]balancete 2020'!C53</f>
        <v>1194926.5599999987</v>
      </c>
      <c r="C12" s="44">
        <f>'[3]balancete 2020'!D115+'[3]balancete 2020'!C52+'[3]balancete 2020'!C53-'[3]balancete 2020'!D52-'[3]balancete 2020'!D53</f>
        <v>1180662.6900000004</v>
      </c>
      <c r="D12" s="44">
        <f>'[3]balancete 2020'!E115+'[3]balancete 2020'!D52+'[3]balancete 2020'!D53-'[3]balancete 2020'!E52-'[3]balancete 2020'!E53</f>
        <v>1282250.0700000003</v>
      </c>
      <c r="E12" s="44">
        <f>'[3]balancete 2020'!F115+'[3]balancete 2020'!E52+'[3]balancete 2020'!E53-'[3]balancete 2020'!F52-'[3]balancete 2020'!F53</f>
        <v>1218891.9800000004</v>
      </c>
      <c r="F12" s="44">
        <f>'[3]balancete 2020'!G115+'[3]balancete 2020'!F52+'[3]balancete 2020'!F53-'[3]balancete 2020'!G52-'[3]balancete 2020'!G53</f>
        <v>1144975.2300000004</v>
      </c>
      <c r="G12" s="44">
        <f>'[3]balancete 2020'!H115+'[3]balancete 2020'!G52+'[3]balancete 2020'!G53-'[3]balancete 2020'!H52-'[3]balancete 2020'!H53</f>
        <v>1191537.6499999985</v>
      </c>
      <c r="H12" s="44">
        <f>'[3]balancete 2020'!I115+'[3]balancete 2020'!H52+'[3]balancete 2020'!H53-'[3]balancete 2020'!I52-'[3]balancete 2020'!I53</f>
        <v>1400639.5999999996</v>
      </c>
      <c r="I12" s="44">
        <f>'[3]balancete 2020'!J115+'[3]balancete 2020'!I52+'[3]balancete 2020'!I53-'[3]balancete 2020'!J52-'[3]balancete 2020'!J53</f>
        <v>1396294.2300000004</v>
      </c>
      <c r="J12" s="44">
        <f>'[3]balancete 2020'!K115+'[3]balancete 2020'!J52+'[3]balancete 2020'!J53-'[3]balancete 2020'!K52-'[3]balancete 2020'!K53</f>
        <v>1520262.6500000022</v>
      </c>
      <c r="K12" s="44">
        <f>'[3]balancete 2020'!L115+'[3]balancete 2020'!K52+'[3]balancete 2020'!K53-'[3]balancete 2020'!L52-'[3]balancete 2020'!L53</f>
        <v>1662993.629999998</v>
      </c>
      <c r="L12" s="44">
        <f>'[3]balancete 2020'!M115+'[3]balancete 2020'!L52+'[3]balancete 2020'!L53-'[3]balancete 2020'!M52-'[3]balancete 2020'!M53</f>
        <v>1421307.5200000014</v>
      </c>
      <c r="M12" s="44">
        <f>'[3]balancete 2020'!N115+'[3]balancete 2020'!M52+'[3]balancete 2020'!M53-'[3]balancete 2020'!N52-'[3]balancete 2020'!N53</f>
        <v>2886520.3200000003</v>
      </c>
    </row>
    <row r="13" spans="1:27" s="33" customFormat="1" ht="12" x14ac:dyDescent="0.2">
      <c r="A13" s="33" t="s">
        <v>171</v>
      </c>
      <c r="B13" s="44">
        <f>'[3]balancete 2020'!C118+'[3]balancete 2020'!B62+'[3]balancete 2020'!B63-'[3]balancete 2020'!C62-'[3]balancete 2020'!C63</f>
        <v>1251947.3299999996</v>
      </c>
      <c r="C13" s="44">
        <f>'[3]balancete 2020'!D118+'[3]balancete 2020'!C62+'[3]balancete 2020'!C63-'[3]balancete 2020'!D62-'[3]balancete 2020'!D63</f>
        <v>1155669.6600000001</v>
      </c>
      <c r="D13" s="44">
        <f>'[3]balancete 2020'!E118+'[3]balancete 2020'!D62+'[3]balancete 2020'!D63-'[3]balancete 2020'!E62-'[3]balancete 2020'!E63</f>
        <v>1191224.9399999997</v>
      </c>
      <c r="E13" s="44">
        <f>'[3]balancete 2020'!F118+'[3]balancete 2020'!E62+'[3]balancete 2020'!E63-'[3]balancete 2020'!F62-'[3]balancete 2020'!F63</f>
        <v>1195583.7200000002</v>
      </c>
      <c r="F13" s="44">
        <f>'[3]balancete 2020'!G118+'[3]balancete 2020'!F62+'[3]balancete 2020'!F63-'[3]balancete 2020'!G62-'[3]balancete 2020'!G63</f>
        <v>1160152.1800000006</v>
      </c>
      <c r="G13" s="44">
        <f>'[3]balancete 2020'!H118+'[3]balancete 2020'!G62+'[3]balancete 2020'!G63-'[3]balancete 2020'!H62-'[3]balancete 2020'!H63</f>
        <v>1246780.2599999995</v>
      </c>
      <c r="H13" s="44">
        <f>'[3]balancete 2020'!I118+'[3]balancete 2020'!H62+'[3]balancete 2020'!H63-'[3]balancete 2020'!I62-'[3]balancete 2020'!I63</f>
        <v>1309447.6800000004</v>
      </c>
      <c r="I13" s="44">
        <f>'[3]balancete 2020'!J118+'[3]balancete 2020'!I62+'[3]balancete 2020'!I63-'[3]balancete 2020'!J62-'[3]balancete 2020'!J63</f>
        <v>1320154.4999999986</v>
      </c>
      <c r="J13" s="44">
        <f>'[3]balancete 2020'!K118+'[3]balancete 2020'!J62+'[3]balancete 2020'!J63-'[3]balancete 2020'!K62-'[3]balancete 2020'!K63</f>
        <v>1428410.9900000005</v>
      </c>
      <c r="K13" s="44">
        <f>'[3]balancete 2020'!L118+'[3]balancete 2020'!K62+'[3]balancete 2020'!K63-'[3]balancete 2020'!L62-'[3]balancete 2020'!L63</f>
        <v>1764187.9000000008</v>
      </c>
      <c r="L13" s="44">
        <f>'[3]balancete 2020'!M118+'[3]balancete 2020'!L62+'[3]balancete 2020'!L63-'[3]balancete 2020'!M62-'[3]balancete 2020'!M63</f>
        <v>1504076.129999999</v>
      </c>
      <c r="M13" s="44">
        <f>'[3]balancete 2020'!N118+'[3]balancete 2020'!M62+'[3]balancete 2020'!M63-'[3]balancete 2020'!N62-'[3]balancete 2020'!N63</f>
        <v>1350576.810000001</v>
      </c>
    </row>
    <row r="14" spans="1:27" s="33" customFormat="1" ht="12" x14ac:dyDescent="0.2">
      <c r="A14" s="33" t="s">
        <v>172</v>
      </c>
      <c r="B14" s="44">
        <f>'[3]balancete 2020'!C123+'[3]balancete 2020'!C124+'[3]balancete 2020'!B64-'[3]balancete 2020'!C64</f>
        <v>108373.80999999994</v>
      </c>
      <c r="C14" s="44">
        <f>'[3]balancete 2020'!D123+'[3]balancete 2020'!D124+'[3]balancete 2020'!C64-'[3]balancete 2020'!D64</f>
        <v>565667.66000000015</v>
      </c>
      <c r="D14" s="44">
        <f>'[3]balancete 2020'!E123+'[3]balancete 2020'!E124+'[3]balancete 2020'!D64-'[3]balancete 2020'!E64</f>
        <v>334344.37</v>
      </c>
      <c r="E14" s="44">
        <f>'[3]balancete 2020'!F123+'[3]balancete 2020'!F124+'[3]balancete 2020'!E64-'[3]balancete 2020'!F64</f>
        <v>222679.61000000004</v>
      </c>
      <c r="F14" s="44">
        <f>'[3]balancete 2020'!G123+'[3]balancete 2020'!G124+'[3]balancete 2020'!F64-'[3]balancete 2020'!G64</f>
        <v>265449.30999999994</v>
      </c>
      <c r="G14" s="44">
        <f>'[3]balancete 2020'!H123+'[3]balancete 2020'!H124+'[3]balancete 2020'!G64-'[3]balancete 2020'!H64</f>
        <v>213814.44999999995</v>
      </c>
      <c r="H14" s="44">
        <f>'[3]balancete 2020'!I123+'[3]balancete 2020'!I124+'[3]balancete 2020'!H64-'[3]balancete 2020'!I64</f>
        <v>177500.38999999996</v>
      </c>
      <c r="I14" s="44">
        <f>'[3]balancete 2020'!J123+'[3]balancete 2020'!J124+'[3]balancete 2020'!I64-'[3]balancete 2020'!J64</f>
        <v>231004.75000000006</v>
      </c>
      <c r="J14" s="44">
        <f>'[3]balancete 2020'!K123+'[3]balancete 2020'!K124+'[3]balancete 2020'!J64-'[3]balancete 2020'!K64</f>
        <v>198612.08999999991</v>
      </c>
      <c r="K14" s="44">
        <f>'[3]balancete 2020'!L123+'[3]balancete 2020'!L124+'[3]balancete 2020'!K64-'[3]balancete 2020'!L64</f>
        <v>203612.40000000061</v>
      </c>
      <c r="L14" s="44">
        <f>'[3]balancete 2020'!M123+'[3]balancete 2020'!M124+'[3]balancete 2020'!L64-'[3]balancete 2020'!M64</f>
        <v>330889.90999999974</v>
      </c>
      <c r="M14" s="44">
        <f>'[3]balancete 2020'!N123+'[3]balancete 2020'!N124+'[3]balancete 2020'!M64-'[3]balancete 2020'!N64</f>
        <v>487263.88999999978</v>
      </c>
    </row>
    <row r="15" spans="1:27" s="33" customFormat="1" ht="12" x14ac:dyDescent="0.2">
      <c r="A15" s="33" t="s">
        <v>173</v>
      </c>
      <c r="B15" s="44">
        <f>-'[3]balancete 2020'!C109</f>
        <v>0</v>
      </c>
      <c r="C15" s="44">
        <f>-'[3]balancete 2020'!D109</f>
        <v>5839.49</v>
      </c>
      <c r="D15" s="44">
        <f>-'[3]balancete 2020'!E109</f>
        <v>3352.9699999999993</v>
      </c>
      <c r="E15" s="44">
        <f>-'[3]balancete 2020'!F109</f>
        <v>-14</v>
      </c>
      <c r="F15" s="44">
        <f>-'[3]balancete 2020'!G109</f>
        <v>3460.9900000000016</v>
      </c>
      <c r="G15" s="44">
        <f>-'[3]balancete 2020'!H109</f>
        <v>478.26999999999862</v>
      </c>
      <c r="H15" s="44">
        <f>-'[3]balancete 2020'!I109</f>
        <v>14</v>
      </c>
      <c r="I15" s="44">
        <f>-'[3]balancete 2020'!J109</f>
        <v>23395.65</v>
      </c>
      <c r="J15" s="44">
        <f>-'[3]balancete 2020'!K109</f>
        <v>2143.4099999999962</v>
      </c>
      <c r="K15" s="44">
        <f>-'[3]balancete 2020'!L109</f>
        <v>0</v>
      </c>
      <c r="L15" s="44">
        <f>-'[3]balancete 2020'!M109</f>
        <v>2510.6600000000035</v>
      </c>
      <c r="M15" s="44">
        <f>-'[3]balancete 2020'!N109</f>
        <v>2179.7599999999948</v>
      </c>
    </row>
    <row r="16" spans="1:27" s="30" customFormat="1" ht="12" x14ac:dyDescent="0.2">
      <c r="A16" s="52" t="s">
        <v>174</v>
      </c>
      <c r="B16" s="91">
        <f t="shared" ref="B16:M16" si="2">B7-B10</f>
        <v>1086280.5200000019</v>
      </c>
      <c r="C16" s="91">
        <f t="shared" si="2"/>
        <v>706786.15999999922</v>
      </c>
      <c r="D16" s="91">
        <f t="shared" si="2"/>
        <v>-83361.410000003409</v>
      </c>
      <c r="E16" s="91">
        <f t="shared" si="2"/>
        <v>-650301.32999999961</v>
      </c>
      <c r="F16" s="91">
        <f t="shared" si="2"/>
        <v>289509.83999999892</v>
      </c>
      <c r="G16" s="91">
        <f t="shared" si="2"/>
        <v>375226.2900000019</v>
      </c>
      <c r="H16" s="91">
        <f t="shared" si="2"/>
        <v>-212596.28999999957</v>
      </c>
      <c r="I16" s="91">
        <f t="shared" si="2"/>
        <v>-229992.60999999987</v>
      </c>
      <c r="J16" s="91">
        <f t="shared" si="2"/>
        <v>616485.54999999888</v>
      </c>
      <c r="K16" s="91">
        <f t="shared" si="2"/>
        <v>-656617.30000000075</v>
      </c>
      <c r="L16" s="91">
        <f t="shared" si="2"/>
        <v>287224.5699999975</v>
      </c>
      <c r="M16" s="91">
        <f t="shared" si="2"/>
        <v>1406750.0599999996</v>
      </c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</row>
    <row r="17" spans="1:27" s="30" customFormat="1" ht="12" x14ac:dyDescent="0.2">
      <c r="B17" s="90"/>
      <c r="C17" s="90"/>
      <c r="D17" s="90"/>
      <c r="E17" s="90"/>
      <c r="F17" s="90"/>
      <c r="G17" s="90"/>
      <c r="H17" s="90"/>
      <c r="I17" s="90"/>
      <c r="J17" s="90"/>
      <c r="K17" s="90"/>
      <c r="L17" s="90"/>
      <c r="M17" s="90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</row>
    <row r="18" spans="1:27" s="33" customFormat="1" ht="12" x14ac:dyDescent="0.2">
      <c r="B18" s="44"/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</row>
    <row r="19" spans="1:27" s="33" customFormat="1" ht="12" x14ac:dyDescent="0.2">
      <c r="A19" s="30" t="s">
        <v>175</v>
      </c>
      <c r="B19" s="44"/>
      <c r="C19" s="44"/>
      <c r="D19" s="44"/>
      <c r="E19" s="44"/>
      <c r="F19" s="44"/>
      <c r="G19" s="44"/>
      <c r="H19" s="44"/>
      <c r="I19" s="44"/>
      <c r="J19" s="44"/>
      <c r="K19" s="44"/>
      <c r="L19" s="44"/>
      <c r="M19" s="44"/>
    </row>
    <row r="20" spans="1:27" s="33" customFormat="1" ht="12" x14ac:dyDescent="0.2">
      <c r="A20" s="51" t="s">
        <v>165</v>
      </c>
      <c r="B20" s="90">
        <f t="shared" ref="B20:M20" si="3">B21</f>
        <v>489429.69</v>
      </c>
      <c r="C20" s="90">
        <f t="shared" si="3"/>
        <v>209346.94</v>
      </c>
      <c r="D20" s="90">
        <f t="shared" si="3"/>
        <v>502216.00000000012</v>
      </c>
      <c r="E20" s="90">
        <f t="shared" si="3"/>
        <v>360079.01</v>
      </c>
      <c r="F20" s="90">
        <f t="shared" si="3"/>
        <v>85653.299999999814</v>
      </c>
      <c r="G20" s="90">
        <f t="shared" si="3"/>
        <v>2123676.7200000002</v>
      </c>
      <c r="H20" s="90">
        <f t="shared" si="3"/>
        <v>696078.3599999994</v>
      </c>
      <c r="I20" s="90">
        <f t="shared" si="3"/>
        <v>457737.74000000022</v>
      </c>
      <c r="J20" s="90">
        <f t="shared" si="3"/>
        <v>282750.81000000052</v>
      </c>
      <c r="K20" s="90">
        <f t="shared" si="3"/>
        <v>160001.25</v>
      </c>
      <c r="L20" s="90">
        <f t="shared" si="3"/>
        <v>138911.72999999952</v>
      </c>
      <c r="M20" s="90">
        <f t="shared" si="3"/>
        <v>488514.12000000011</v>
      </c>
    </row>
    <row r="21" spans="1:27" s="33" customFormat="1" ht="12" x14ac:dyDescent="0.2">
      <c r="A21" s="33" t="s">
        <v>176</v>
      </c>
      <c r="B21" s="44">
        <f>'[3]balancete 2020'!C133</f>
        <v>489429.69</v>
      </c>
      <c r="C21" s="44">
        <f>'[3]balancete 2020'!D133</f>
        <v>209346.94</v>
      </c>
      <c r="D21" s="44">
        <f>'[3]balancete 2020'!E133</f>
        <v>502216.00000000012</v>
      </c>
      <c r="E21" s="44">
        <f>'[3]balancete 2020'!F133</f>
        <v>360079.01</v>
      </c>
      <c r="F21" s="44">
        <f>'[3]balancete 2020'!G133</f>
        <v>85653.299999999814</v>
      </c>
      <c r="G21" s="44">
        <f>'[3]balancete 2020'!H133</f>
        <v>2123676.7200000002</v>
      </c>
      <c r="H21" s="44">
        <f>'[3]balancete 2020'!I133</f>
        <v>696078.3599999994</v>
      </c>
      <c r="I21" s="44">
        <f>'[3]balancete 2020'!J133</f>
        <v>457737.74000000022</v>
      </c>
      <c r="J21" s="44">
        <f>'[3]balancete 2020'!K133</f>
        <v>282750.81000000052</v>
      </c>
      <c r="K21" s="44">
        <f>'[3]balancete 2020'!L133</f>
        <v>160001.25</v>
      </c>
      <c r="L21" s="44">
        <f>'[3]balancete 2020'!M133</f>
        <v>138911.72999999952</v>
      </c>
      <c r="M21" s="44">
        <f>'[3]balancete 2020'!N133</f>
        <v>488514.12000000011</v>
      </c>
    </row>
    <row r="22" spans="1:27" s="30" customFormat="1" ht="12" x14ac:dyDescent="0.2">
      <c r="A22" s="51" t="s">
        <v>168</v>
      </c>
      <c r="B22" s="90">
        <f t="shared" ref="B22:M22" si="4">B23</f>
        <v>221.27</v>
      </c>
      <c r="C22" s="90">
        <f t="shared" si="4"/>
        <v>0</v>
      </c>
      <c r="D22" s="90">
        <f t="shared" si="4"/>
        <v>0</v>
      </c>
      <c r="E22" s="90">
        <f t="shared" si="4"/>
        <v>800</v>
      </c>
      <c r="F22" s="90">
        <f t="shared" si="4"/>
        <v>0</v>
      </c>
      <c r="G22" s="90">
        <f t="shared" si="4"/>
        <v>1495</v>
      </c>
      <c r="H22" s="90">
        <f t="shared" si="4"/>
        <v>0</v>
      </c>
      <c r="I22" s="90">
        <f t="shared" si="4"/>
        <v>0</v>
      </c>
      <c r="J22" s="90">
        <f t="shared" si="4"/>
        <v>0</v>
      </c>
      <c r="K22" s="90">
        <f t="shared" si="4"/>
        <v>0</v>
      </c>
      <c r="L22" s="90">
        <f t="shared" si="4"/>
        <v>0</v>
      </c>
      <c r="M22" s="90">
        <f t="shared" si="4"/>
        <v>200</v>
      </c>
    </row>
    <row r="23" spans="1:27" s="33" customFormat="1" ht="12" x14ac:dyDescent="0.2">
      <c r="A23" s="33" t="s">
        <v>177</v>
      </c>
      <c r="B23" s="44">
        <f>'[3]balancete 2020'!C138</f>
        <v>221.27</v>
      </c>
      <c r="C23" s="44">
        <f>'[3]balancete 2020'!D138</f>
        <v>0</v>
      </c>
      <c r="D23" s="44">
        <f>'[3]balancete 2020'!E138</f>
        <v>0</v>
      </c>
      <c r="E23" s="44">
        <f>'[3]balancete 2020'!F138</f>
        <v>800</v>
      </c>
      <c r="F23" s="44">
        <f>'[3]balancete 2020'!G138</f>
        <v>0</v>
      </c>
      <c r="G23" s="44">
        <f>'[3]balancete 2020'!H138</f>
        <v>1495</v>
      </c>
      <c r="H23" s="44">
        <f>'[3]balancete 2020'!I138</f>
        <v>0</v>
      </c>
      <c r="I23" s="44">
        <f>'[3]balancete 2020'!J138</f>
        <v>0</v>
      </c>
      <c r="J23" s="44">
        <f>'[3]balancete 2020'!K138</f>
        <v>0</v>
      </c>
      <c r="K23" s="44">
        <f>'[3]balancete 2020'!L138</f>
        <v>0</v>
      </c>
      <c r="L23" s="44">
        <f>'[3]balancete 2020'!M138</f>
        <v>0</v>
      </c>
      <c r="M23" s="44">
        <f>'[3]balancete 2020'!N138</f>
        <v>200</v>
      </c>
    </row>
    <row r="24" spans="1:27" s="30" customFormat="1" ht="12" x14ac:dyDescent="0.2">
      <c r="A24" s="52" t="s">
        <v>178</v>
      </c>
      <c r="B24" s="91">
        <f t="shared" ref="B24:M24" si="5">B20-B22</f>
        <v>489208.42</v>
      </c>
      <c r="C24" s="91">
        <f t="shared" si="5"/>
        <v>209346.94</v>
      </c>
      <c r="D24" s="91">
        <f t="shared" si="5"/>
        <v>502216.00000000012</v>
      </c>
      <c r="E24" s="91">
        <f t="shared" si="5"/>
        <v>359279.01</v>
      </c>
      <c r="F24" s="91">
        <f t="shared" si="5"/>
        <v>85653.299999999814</v>
      </c>
      <c r="G24" s="91">
        <f t="shared" si="5"/>
        <v>2122181.7200000002</v>
      </c>
      <c r="H24" s="91">
        <f t="shared" si="5"/>
        <v>696078.3599999994</v>
      </c>
      <c r="I24" s="91">
        <f t="shared" si="5"/>
        <v>457737.74000000022</v>
      </c>
      <c r="J24" s="91">
        <f t="shared" si="5"/>
        <v>282750.81000000052</v>
      </c>
      <c r="K24" s="91">
        <f t="shared" si="5"/>
        <v>160001.25</v>
      </c>
      <c r="L24" s="91">
        <f t="shared" si="5"/>
        <v>138911.72999999952</v>
      </c>
      <c r="M24" s="91">
        <f t="shared" si="5"/>
        <v>488314.12000000011</v>
      </c>
    </row>
    <row r="25" spans="1:27" s="30" customFormat="1" ht="12" x14ac:dyDescent="0.2">
      <c r="B25" s="90"/>
      <c r="C25" s="90"/>
      <c r="D25" s="90"/>
      <c r="E25" s="90"/>
      <c r="F25" s="90"/>
      <c r="G25" s="90"/>
      <c r="H25" s="90"/>
      <c r="I25" s="90"/>
      <c r="J25" s="90"/>
      <c r="K25" s="90"/>
      <c r="L25" s="90"/>
      <c r="M25" s="90"/>
    </row>
    <row r="26" spans="1:27" s="33" customFormat="1" ht="12" x14ac:dyDescent="0.2"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</row>
    <row r="27" spans="1:27" s="30" customFormat="1" ht="12" x14ac:dyDescent="0.2">
      <c r="A27" s="30" t="s">
        <v>179</v>
      </c>
      <c r="B27" s="90"/>
      <c r="C27" s="90"/>
      <c r="D27" s="90"/>
      <c r="E27" s="90"/>
      <c r="F27" s="90"/>
      <c r="G27" s="90"/>
      <c r="H27" s="90"/>
      <c r="I27" s="90"/>
      <c r="J27" s="90"/>
      <c r="K27" s="90"/>
      <c r="L27" s="90"/>
      <c r="M27" s="90"/>
    </row>
    <row r="28" spans="1:27" s="30" customFormat="1" ht="12" x14ac:dyDescent="0.2">
      <c r="A28" s="51" t="s">
        <v>165</v>
      </c>
      <c r="B28" s="90">
        <f t="shared" ref="B28:M28" si="6">B29+B30</f>
        <v>75574.280000000261</v>
      </c>
      <c r="C28" s="90">
        <f t="shared" si="6"/>
        <v>75574.280000000261</v>
      </c>
      <c r="D28" s="90">
        <f t="shared" si="6"/>
        <v>75574.279999999329</v>
      </c>
      <c r="E28" s="90">
        <f t="shared" si="6"/>
        <v>75574.280000000261</v>
      </c>
      <c r="F28" s="90">
        <f t="shared" si="6"/>
        <v>75574.280000000261</v>
      </c>
      <c r="G28" s="90">
        <f t="shared" si="6"/>
        <v>75574.279999999329</v>
      </c>
      <c r="H28" s="90">
        <f t="shared" si="6"/>
        <v>75574.280000000261</v>
      </c>
      <c r="I28" s="90">
        <f t="shared" si="6"/>
        <v>75574.280000000261</v>
      </c>
      <c r="J28" s="90">
        <f t="shared" si="6"/>
        <v>75574.280000000261</v>
      </c>
      <c r="K28" s="90">
        <f t="shared" si="6"/>
        <v>75574.279999999329</v>
      </c>
      <c r="L28" s="90">
        <f t="shared" si="6"/>
        <v>75574.280000000261</v>
      </c>
      <c r="M28" s="90">
        <f t="shared" si="6"/>
        <v>166686.87999999989</v>
      </c>
    </row>
    <row r="29" spans="1:27" s="33" customFormat="1" ht="12" x14ac:dyDescent="0.2">
      <c r="A29" s="33" t="s">
        <v>180</v>
      </c>
      <c r="B29" s="44"/>
      <c r="C29" s="44"/>
      <c r="D29" s="44"/>
      <c r="E29" s="44"/>
      <c r="F29" s="44"/>
      <c r="G29" s="44"/>
      <c r="H29" s="44"/>
      <c r="I29" s="44"/>
      <c r="J29" s="44"/>
      <c r="K29" s="44"/>
      <c r="L29" s="44"/>
      <c r="M29" s="44"/>
    </row>
    <row r="30" spans="1:27" s="33" customFormat="1" ht="12" x14ac:dyDescent="0.2">
      <c r="A30" s="33" t="s">
        <v>181</v>
      </c>
      <c r="B30" s="44">
        <f>'[3]balancete 2020'!C36-'[3]balancete 2020'!B36</f>
        <v>75574.280000000261</v>
      </c>
      <c r="C30" s="44">
        <f>'[3]balancete 2020'!D36-'[3]balancete 2020'!C36</f>
        <v>75574.280000000261</v>
      </c>
      <c r="D30" s="44">
        <f>'[3]balancete 2020'!E36-'[3]balancete 2020'!D36</f>
        <v>75574.279999999329</v>
      </c>
      <c r="E30" s="44">
        <f>'[3]balancete 2020'!F36-'[3]balancete 2020'!E36</f>
        <v>75574.280000000261</v>
      </c>
      <c r="F30" s="44">
        <f>'[3]balancete 2020'!G36-'[3]balancete 2020'!F36</f>
        <v>75574.280000000261</v>
      </c>
      <c r="G30" s="44">
        <f>'[3]balancete 2020'!H36-'[3]balancete 2020'!G36</f>
        <v>75574.279999999329</v>
      </c>
      <c r="H30" s="44">
        <f>'[3]balancete 2020'!I36-'[3]balancete 2020'!H36</f>
        <v>75574.280000000261</v>
      </c>
      <c r="I30" s="44">
        <f>'[3]balancete 2020'!J36-'[3]balancete 2020'!I36</f>
        <v>75574.280000000261</v>
      </c>
      <c r="J30" s="44">
        <f>'[3]balancete 2020'!K36-'[3]balancete 2020'!J36</f>
        <v>75574.280000000261</v>
      </c>
      <c r="K30" s="44">
        <f>'[3]balancete 2020'!L36-'[3]balancete 2020'!K36</f>
        <v>75574.279999999329</v>
      </c>
      <c r="L30" s="44">
        <f>'[3]balancete 2020'!M36-'[3]balancete 2020'!L36</f>
        <v>75574.280000000261</v>
      </c>
      <c r="M30" s="44">
        <f>'[3]balancete 2020'!N36-'[3]balancete 2020'!M36</f>
        <v>166686.87999999989</v>
      </c>
    </row>
    <row r="31" spans="1:27" s="30" customFormat="1" ht="12" x14ac:dyDescent="0.2">
      <c r="A31" s="51" t="s">
        <v>168</v>
      </c>
      <c r="B31" s="90">
        <f t="shared" ref="B31:M31" si="7">B32+B33</f>
        <v>1186249.7099999981</v>
      </c>
      <c r="C31" s="90">
        <f t="shared" si="7"/>
        <v>655313.30000000028</v>
      </c>
      <c r="D31" s="90">
        <f t="shared" si="7"/>
        <v>276276.00000000256</v>
      </c>
      <c r="E31" s="90">
        <f t="shared" si="7"/>
        <v>59479.179999999702</v>
      </c>
      <c r="F31" s="90">
        <f t="shared" si="7"/>
        <v>8446.2699999986216</v>
      </c>
      <c r="G31" s="90">
        <f t="shared" si="7"/>
        <v>306333.87999999989</v>
      </c>
      <c r="H31" s="90">
        <f t="shared" si="7"/>
        <v>854814.69000000157</v>
      </c>
      <c r="I31" s="90">
        <f t="shared" si="7"/>
        <v>643213.81999999913</v>
      </c>
      <c r="J31" s="90">
        <f t="shared" si="7"/>
        <v>189150.599999998</v>
      </c>
      <c r="K31" s="90">
        <f t="shared" si="7"/>
        <v>119418.32000000239</v>
      </c>
      <c r="L31" s="90">
        <f t="shared" si="7"/>
        <v>191731.59999999753</v>
      </c>
      <c r="M31" s="90">
        <f t="shared" si="7"/>
        <v>177358.33999999915</v>
      </c>
    </row>
    <row r="32" spans="1:27" s="33" customFormat="1" ht="12" x14ac:dyDescent="0.2">
      <c r="A32" s="33" t="s">
        <v>182</v>
      </c>
      <c r="B32" s="44">
        <f>'[3]balancete 2020'!C34+'[3]balancete 2020'!C35-'[3]balancete 2020'!B34-'[3]balancete 2020'!B35</f>
        <v>6858.8299999982119</v>
      </c>
      <c r="C32" s="44">
        <f>'[3]balancete 2020'!D34+'[3]balancete 2020'!D35-'[3]balancete 2020'!C34-'[3]balancete 2020'!C35</f>
        <v>655188.41000000015</v>
      </c>
      <c r="D32" s="44">
        <f>'[3]balancete 2020'!E34+'[3]balancete 2020'!E35-'[3]balancete 2020'!D34-'[3]balancete 2020'!D35</f>
        <v>276024.63000000268</v>
      </c>
      <c r="E32" s="44">
        <f>'[3]balancete 2020'!F34+'[3]balancete 2020'!F35-'[3]balancete 2020'!E34-'[3]balancete 2020'!E35</f>
        <v>59479.179999999702</v>
      </c>
      <c r="F32" s="44">
        <f>'[3]balancete 2020'!G34+'[3]balancete 2020'!G35-'[3]balancete 2020'!F34-'[3]balancete 2020'!F35</f>
        <v>8319.1499999985099</v>
      </c>
      <c r="G32" s="44">
        <f>'[3]balancete 2020'!H34+'[3]balancete 2020'!H35-'[3]balancete 2020'!G34-'[3]balancete 2020'!G35</f>
        <v>306206.25</v>
      </c>
      <c r="H32" s="44">
        <f>'[3]balancete 2020'!I34+'[3]balancete 2020'!I35-'[3]balancete 2020'!H34-'[3]balancete 2020'!H35</f>
        <v>854688.10000000149</v>
      </c>
      <c r="I32" s="44">
        <f>'[3]balancete 2020'!J34+'[3]balancete 2020'!J35-'[3]balancete 2020'!I34-'[3]balancete 2020'!I35</f>
        <v>643080.53999999911</v>
      </c>
      <c r="J32" s="44">
        <f>'[3]balancete 2020'!K34+'[3]balancete 2020'!K35-'[3]balancete 2020'!J34-'[3]balancete 2020'!J35</f>
        <v>189116.07999999821</v>
      </c>
      <c r="K32" s="44">
        <f>'[3]balancete 2020'!L34+'[3]balancete 2020'!L35-'[3]balancete 2020'!K34-'[3]balancete 2020'!K35</f>
        <v>119384.40000000224</v>
      </c>
      <c r="L32" s="44">
        <f>'[3]balancete 2020'!M34+'[3]balancete 2020'!M35-'[3]balancete 2020'!L34-'[3]balancete 2020'!L35</f>
        <v>194846.68999999762</v>
      </c>
      <c r="M32" s="44">
        <f>'[3]balancete 2020'!N34+'[3]balancete 2020'!N35-'[3]balancete 2020'!M34-'[3]balancete 2020'!M35</f>
        <v>308387.78999999911</v>
      </c>
    </row>
    <row r="33" spans="1:15" s="33" customFormat="1" ht="12" x14ac:dyDescent="0.2">
      <c r="A33" s="33" t="s">
        <v>183</v>
      </c>
      <c r="B33" s="44">
        <f>'[3]balancete 2020'!C28-'[3]balancete 2020'!B28</f>
        <v>1179390.8799999999</v>
      </c>
      <c r="C33" s="44">
        <f>'[3]balancete 2020'!D28-'[3]balancete 2020'!C28</f>
        <v>124.89000000013039</v>
      </c>
      <c r="D33" s="44">
        <f>'[3]balancete 2020'!E28-'[3]balancete 2020'!D28</f>
        <v>251.36999999987893</v>
      </c>
      <c r="E33" s="44">
        <f>'[3]balancete 2020'!F28-'[3]balancete 2020'!E28</f>
        <v>0</v>
      </c>
      <c r="F33" s="44">
        <f>'[3]balancete 2020'!G28-'[3]balancete 2020'!F28</f>
        <v>127.12000000011176</v>
      </c>
      <c r="G33" s="44">
        <f>'[3]balancete 2020'!H28-'[3]balancete 2020'!G28</f>
        <v>127.62999999988824</v>
      </c>
      <c r="H33" s="44">
        <f>'[3]balancete 2020'!I28-'[3]balancete 2020'!H28</f>
        <v>126.59000000008382</v>
      </c>
      <c r="I33" s="44">
        <f>'[3]balancete 2020'!J28-'[3]balancete 2020'!I28</f>
        <v>133.28000000002794</v>
      </c>
      <c r="J33" s="44">
        <f>'[3]balancete 2020'!K28-'[3]balancete 2020'!J28</f>
        <v>34.519999999785796</v>
      </c>
      <c r="K33" s="44">
        <f>'[3]balancete 2020'!L28-'[3]balancete 2020'!K28</f>
        <v>33.920000000158325</v>
      </c>
      <c r="L33" s="44">
        <f>'[3]balancete 2020'!M28-'[3]balancete 2020'!L28</f>
        <v>-3115.0900000000838</v>
      </c>
      <c r="M33" s="44">
        <f>'[3]balancete 2020'!N28-'[3]balancete 2020'!M28</f>
        <v>-131029.44999999995</v>
      </c>
    </row>
    <row r="34" spans="1:15" s="30" customFormat="1" ht="12" x14ac:dyDescent="0.2">
      <c r="A34" s="52" t="s">
        <v>184</v>
      </c>
      <c r="B34" s="91">
        <f t="shared" ref="B34:M34" si="8">B28-B31</f>
        <v>-1110675.4299999978</v>
      </c>
      <c r="C34" s="91">
        <f t="shared" si="8"/>
        <v>-579739.02</v>
      </c>
      <c r="D34" s="91">
        <f t="shared" si="8"/>
        <v>-200701.72000000323</v>
      </c>
      <c r="E34" s="91">
        <f t="shared" si="8"/>
        <v>16095.100000000559</v>
      </c>
      <c r="F34" s="91">
        <f t="shared" si="8"/>
        <v>67128.010000001639</v>
      </c>
      <c r="G34" s="91">
        <f t="shared" si="8"/>
        <v>-230759.60000000056</v>
      </c>
      <c r="H34" s="91">
        <f t="shared" si="8"/>
        <v>-779240.41000000131</v>
      </c>
      <c r="I34" s="91">
        <f t="shared" si="8"/>
        <v>-567639.53999999887</v>
      </c>
      <c r="J34" s="91">
        <f t="shared" si="8"/>
        <v>-113576.31999999774</v>
      </c>
      <c r="K34" s="91">
        <f t="shared" si="8"/>
        <v>-43844.040000003064</v>
      </c>
      <c r="L34" s="91">
        <f t="shared" si="8"/>
        <v>-116157.31999999727</v>
      </c>
      <c r="M34" s="91">
        <f t="shared" si="8"/>
        <v>-10671.459999999264</v>
      </c>
    </row>
    <row r="35" spans="1:15" s="30" customFormat="1" ht="12" x14ac:dyDescent="0.2">
      <c r="B35" s="90"/>
      <c r="C35" s="90"/>
      <c r="D35" s="90"/>
      <c r="E35" s="90"/>
      <c r="F35" s="90"/>
      <c r="G35" s="90"/>
      <c r="H35" s="90"/>
      <c r="I35" s="90"/>
      <c r="J35" s="90"/>
      <c r="K35" s="90"/>
      <c r="L35" s="90"/>
      <c r="M35" s="90"/>
    </row>
    <row r="36" spans="1:15" s="30" customFormat="1" ht="12" x14ac:dyDescent="0.2">
      <c r="A36" s="33" t="s">
        <v>68</v>
      </c>
      <c r="B36" s="90"/>
      <c r="C36" s="90"/>
      <c r="D36" s="90"/>
      <c r="E36" s="90"/>
      <c r="F36" s="90"/>
      <c r="G36" s="90"/>
      <c r="H36" s="90"/>
      <c r="I36" s="90"/>
      <c r="J36" s="90"/>
      <c r="K36" s="90"/>
      <c r="L36" s="90"/>
      <c r="M36" s="90"/>
    </row>
    <row r="37" spans="1:15" s="30" customFormat="1" ht="12" x14ac:dyDescent="0.2">
      <c r="A37" s="30" t="s">
        <v>185</v>
      </c>
      <c r="B37" s="90"/>
      <c r="C37" s="90"/>
      <c r="D37" s="90"/>
      <c r="E37" s="90"/>
      <c r="F37" s="90"/>
      <c r="G37" s="90"/>
      <c r="H37" s="90"/>
      <c r="I37" s="90"/>
      <c r="J37" s="90"/>
      <c r="K37" s="90"/>
      <c r="L37" s="90"/>
      <c r="M37" s="90"/>
    </row>
    <row r="38" spans="1:15" s="33" customFormat="1" ht="12" x14ac:dyDescent="0.2">
      <c r="A38" s="51" t="s">
        <v>165</v>
      </c>
      <c r="B38" s="90">
        <f t="shared" ref="B38:M38" si="9">B39+B40</f>
        <v>0</v>
      </c>
      <c r="C38" s="90">
        <f t="shared" si="9"/>
        <v>0</v>
      </c>
      <c r="D38" s="90">
        <f t="shared" si="9"/>
        <v>0</v>
      </c>
      <c r="E38" s="90">
        <f t="shared" si="9"/>
        <v>0</v>
      </c>
      <c r="F38" s="90">
        <f t="shared" si="9"/>
        <v>0</v>
      </c>
      <c r="G38" s="90">
        <f t="shared" si="9"/>
        <v>0</v>
      </c>
      <c r="H38" s="90">
        <f t="shared" si="9"/>
        <v>0</v>
      </c>
      <c r="I38" s="90">
        <f t="shared" si="9"/>
        <v>0</v>
      </c>
      <c r="J38" s="90">
        <f t="shared" si="9"/>
        <v>0</v>
      </c>
      <c r="K38" s="90">
        <f t="shared" si="9"/>
        <v>0</v>
      </c>
      <c r="L38" s="90">
        <f t="shared" si="9"/>
        <v>0</v>
      </c>
      <c r="M38" s="90">
        <f t="shared" si="9"/>
        <v>720000</v>
      </c>
    </row>
    <row r="39" spans="1:15" s="30" customFormat="1" ht="12" x14ac:dyDescent="0.2">
      <c r="A39" s="33" t="s">
        <v>186</v>
      </c>
      <c r="B39" s="44">
        <v>0</v>
      </c>
      <c r="C39" s="44">
        <v>0</v>
      </c>
      <c r="D39" s="44">
        <v>0</v>
      </c>
      <c r="E39" s="44">
        <v>0</v>
      </c>
      <c r="F39" s="44">
        <v>0</v>
      </c>
      <c r="G39" s="44">
        <v>0</v>
      </c>
      <c r="H39" s="44">
        <v>0</v>
      </c>
      <c r="I39" s="44">
        <v>0</v>
      </c>
      <c r="J39" s="44">
        <v>0</v>
      </c>
      <c r="K39" s="44">
        <v>0</v>
      </c>
      <c r="L39" s="44">
        <v>0</v>
      </c>
      <c r="M39" s="44">
        <v>720000</v>
      </c>
    </row>
    <row r="40" spans="1:15" s="33" customFormat="1" ht="12" x14ac:dyDescent="0.2">
      <c r="A40" s="33" t="s">
        <v>187</v>
      </c>
      <c r="B40" s="34">
        <v>0</v>
      </c>
      <c r="C40" s="34">
        <v>0</v>
      </c>
      <c r="D40" s="34">
        <v>0</v>
      </c>
      <c r="E40" s="34">
        <v>0</v>
      </c>
      <c r="F40" s="34">
        <v>0</v>
      </c>
      <c r="G40" s="34">
        <v>0</v>
      </c>
      <c r="H40" s="34">
        <v>0</v>
      </c>
      <c r="I40" s="34">
        <v>0</v>
      </c>
      <c r="J40" s="34">
        <v>0</v>
      </c>
      <c r="K40" s="34">
        <v>0</v>
      </c>
      <c r="L40" s="34">
        <v>0</v>
      </c>
      <c r="M40" s="34">
        <v>0</v>
      </c>
    </row>
    <row r="41" spans="1:15" s="30" customFormat="1" ht="12" x14ac:dyDescent="0.2">
      <c r="A41" s="51" t="s">
        <v>168</v>
      </c>
      <c r="B41" s="90">
        <f t="shared" ref="B41:M41" si="10">B42+B43+B44</f>
        <v>498323.08999999863</v>
      </c>
      <c r="C41" s="90">
        <f t="shared" si="10"/>
        <v>324913.70999999985</v>
      </c>
      <c r="D41" s="90">
        <f t="shared" si="10"/>
        <v>402896.80999999866</v>
      </c>
      <c r="E41" s="90">
        <f t="shared" si="10"/>
        <v>403086.08000000077</v>
      </c>
      <c r="F41" s="90">
        <f t="shared" si="10"/>
        <v>396857.57000000036</v>
      </c>
      <c r="G41" s="90">
        <f t="shared" si="10"/>
        <v>573351.53999999934</v>
      </c>
      <c r="H41" s="90">
        <f t="shared" si="10"/>
        <v>365498.72000000067</v>
      </c>
      <c r="I41" s="90">
        <f t="shared" si="10"/>
        <v>327967.57999999973</v>
      </c>
      <c r="J41" s="90">
        <f t="shared" si="10"/>
        <v>581697.89999999991</v>
      </c>
      <c r="K41" s="90">
        <f t="shared" si="10"/>
        <v>290173.01000000007</v>
      </c>
      <c r="L41" s="90">
        <f t="shared" si="10"/>
        <v>-95182.530000001396</v>
      </c>
      <c r="M41" s="90">
        <f t="shared" si="10"/>
        <v>-155523.05999999924</v>
      </c>
    </row>
    <row r="42" spans="1:15" s="33" customFormat="1" ht="12" x14ac:dyDescent="0.2">
      <c r="A42" s="33" t="s">
        <v>188</v>
      </c>
      <c r="B42" s="34">
        <f>'[3]balancete 2020'!B50+'[3]balancete 2020'!B71+'[3]balancete 2020'!B72+'[3]balancete 2020'!B81-'[3]balancete 2020'!C50-'[3]balancete 2020'!C71-'[3]balancete 2020'!C72-'[3]balancete 2020'!C81</f>
        <v>283565.05999999866</v>
      </c>
      <c r="C42" s="34">
        <f>'[3]balancete 2020'!C50+'[3]balancete 2020'!C71+'[3]balancete 2020'!C72+'[3]balancete 2020'!C81-'[3]balancete 2020'!D50-'[3]balancete 2020'!D71-'[3]balancete 2020'!D72-'[3]balancete 2020'!D81</f>
        <v>220291.69000000041</v>
      </c>
      <c r="D42" s="34">
        <f>'[3]balancete 2020'!D50+'[3]balancete 2020'!D71+'[3]balancete 2020'!D72+'[3]balancete 2020'!D81-'[3]balancete 2020'!E50-'[3]balancete 2020'!E71-'[3]balancete 2020'!E72-'[3]balancete 2020'!E81</f>
        <v>228822.80999999866</v>
      </c>
      <c r="E42" s="34">
        <f>'[3]balancete 2020'!E50+'[3]balancete 2020'!E71+'[3]balancete 2020'!E72+'[3]balancete 2020'!E81-'[3]balancete 2020'!F50-'[3]balancete 2020'!F71-'[3]balancete 2020'!F72-'[3]balancete 2020'!F81</f>
        <v>234891.90000000037</v>
      </c>
      <c r="F42" s="34">
        <f>'[3]balancete 2020'!F50+'[3]balancete 2020'!F71+'[3]balancete 2020'!F72+'[3]balancete 2020'!F81-'[3]balancete 2020'!G50-'[3]balancete 2020'!G71-'[3]balancete 2020'!G72-'[3]balancete 2020'!G81</f>
        <v>205449.48000000045</v>
      </c>
      <c r="G42" s="34">
        <f>'[3]balancete 2020'!G50+'[3]balancete 2020'!G71+'[3]balancete 2020'!G72+'[3]balancete 2020'!G81-'[3]balancete 2020'!H50-'[3]balancete 2020'!H71-'[3]balancete 2020'!H72-'[3]balancete 2020'!H81</f>
        <v>393505.3599999994</v>
      </c>
      <c r="H42" s="34">
        <f>'[3]balancete 2020'!H50+'[3]balancete 2020'!H71+'[3]balancete 2020'!H72+'[3]balancete 2020'!H81-'[3]balancete 2020'!I50-'[3]balancete 2020'!I71-'[3]balancete 2020'!I72-'[3]balancete 2020'!I81</f>
        <v>196293.5700000003</v>
      </c>
      <c r="I42" s="34">
        <f>'[3]balancete 2020'!I50+'[3]balancete 2020'!I71+'[3]balancete 2020'!I72+'[3]balancete 2020'!I81-'[3]balancete 2020'!J50-'[3]balancete 2020'!J71-'[3]balancete 2020'!J72-'[3]balancete 2020'!J81</f>
        <v>136893.75999999978</v>
      </c>
      <c r="J42" s="34">
        <f>'[3]balancete 2020'!J50+'[3]balancete 2020'!J71+'[3]balancete 2020'!J72+'[3]balancete 2020'!J81-'[3]balancete 2020'!K50-'[3]balancete 2020'!K71-'[3]balancete 2020'!K72-'[3]balancete 2020'!K81</f>
        <v>546403.66000000015</v>
      </c>
      <c r="K42" s="34">
        <f>'[3]balancete 2020'!K50+'[3]balancete 2020'!K71+'[3]balancete 2020'!K72+'[3]balancete 2020'!K81-'[3]balancete 2020'!L50-'[3]balancete 2020'!L71-'[3]balancete 2020'!L72-'[3]balancete 2020'!L81</f>
        <v>343711.45999999996</v>
      </c>
      <c r="L42" s="34">
        <f>'[3]balancete 2020'!L50+'[3]balancete 2020'!L71+'[3]balancete 2020'!L72+'[3]balancete 2020'!L81-'[3]balancete 2020'!M50-'[3]balancete 2020'!M71-'[3]balancete 2020'!M72-'[3]balancete 2020'!M81</f>
        <v>-302636.86000000127</v>
      </c>
      <c r="M42" s="34">
        <f>'[3]balancete 2020'!M50+'[3]balancete 2020'!M71+'[3]balancete 2020'!M72+'[3]balancete 2020'!M81-'[3]balancete 2020'!N50-'[3]balancete 2020'!N71-'[3]balancete 2020'!N72-'[3]balancete 2020'!N81+720000</f>
        <v>-237394.78999999957</v>
      </c>
      <c r="O42" s="46"/>
    </row>
    <row r="43" spans="1:15" s="33" customFormat="1" ht="12" x14ac:dyDescent="0.2">
      <c r="A43" s="33" t="s">
        <v>189</v>
      </c>
      <c r="B43" s="34">
        <f>'[3]balancete 2020'!C141-'[3]balancete 2020'!C143</f>
        <v>207065.66999999998</v>
      </c>
      <c r="C43" s="34">
        <f>'[3]balancete 2020'!D141-'[3]balancete 2020'!D143</f>
        <v>162369.38999999998</v>
      </c>
      <c r="D43" s="34">
        <f>'[3]balancete 2020'!E141-'[3]balancete 2020'!E143</f>
        <v>174073.99999999997</v>
      </c>
      <c r="E43" s="34">
        <f>'[3]balancete 2020'!F141-'[3]balancete 2020'!F143</f>
        <v>160501.75999999998</v>
      </c>
      <c r="F43" s="34">
        <f>'[3]balancete 2020'!G141-'[3]balancete 2020'!G143</f>
        <v>176023.25000000006</v>
      </c>
      <c r="G43" s="34">
        <f>'[3]balancete 2020'!H141-'[3]balancete 2020'!H143</f>
        <v>179846.18</v>
      </c>
      <c r="H43" s="34">
        <f>'[3]balancete 2020'!I141-'[3]balancete 2020'!I143</f>
        <v>161512.72999999998</v>
      </c>
      <c r="I43" s="34">
        <f>'[3]balancete 2020'!J141-'[3]balancete 2020'!J143</f>
        <v>191073.81999999995</v>
      </c>
      <c r="J43" s="34">
        <f>'[3]balancete 2020'!K141-'[3]balancete 2020'!K143</f>
        <v>201164.64000000016</v>
      </c>
      <c r="K43" s="34">
        <f>'[3]balancete 2020'!L141-'[3]balancete 2020'!L143</f>
        <v>227768.8499999998</v>
      </c>
      <c r="L43" s="34">
        <f>'[3]balancete 2020'!M141-'[3]balancete 2020'!M143</f>
        <v>262826.48999999993</v>
      </c>
      <c r="M43" s="34">
        <f>'[3]balancete 2020'!N141-'[3]balancete 2020'!N143</f>
        <v>621890.05000000028</v>
      </c>
    </row>
    <row r="44" spans="1:15" s="33" customFormat="1" ht="12" x14ac:dyDescent="0.2">
      <c r="A44" s="33" t="s">
        <v>190</v>
      </c>
      <c r="B44" s="44">
        <v>7692.36</v>
      </c>
      <c r="C44" s="44">
        <f>'[3]balancete 2020'!C74-'[3]balancete 2020'!D74</f>
        <v>-57747.370000000577</v>
      </c>
      <c r="D44" s="44">
        <f>'[3]balancete 2020'!D74-'[3]balancete 2020'!E74</f>
        <v>0</v>
      </c>
      <c r="E44" s="44">
        <f>'[3]balancete 2020'!E74-'[3]balancete 2020'!F74</f>
        <v>7692.4200000003912</v>
      </c>
      <c r="F44" s="44">
        <f>'[3]balancete 2020'!F74-'[3]balancete 2020'!G74</f>
        <v>15384.839999999851</v>
      </c>
      <c r="G44" s="44">
        <f>'[3]balancete 2020'!G74-'[3]balancete 2020'!H74</f>
        <v>0</v>
      </c>
      <c r="H44" s="44">
        <f>'[3]balancete 2020'!H74-'[3]balancete 2020'!I74</f>
        <v>7692.4200000003912</v>
      </c>
      <c r="I44" s="44">
        <f>'[3]balancete 2020'!I74-'[3]balancete 2020'!J74</f>
        <v>0</v>
      </c>
      <c r="J44" s="44">
        <f>'[3]balancete 2020'!J74-'[3]balancete 2020'!K74</f>
        <v>-165870.40000000037</v>
      </c>
      <c r="K44" s="44">
        <f>'[3]balancete 2020'!K74-'[3]balancete 2020'!L74-13056.04</f>
        <v>-281307.29999999976</v>
      </c>
      <c r="L44" s="44">
        <f>'[3]balancete 2020'!L74-'[3]balancete 2020'!M74-15967.6</f>
        <v>-55372.160000000054</v>
      </c>
      <c r="M44" s="44">
        <f>'[3]balancete 2020'!M74-'[3]balancete 2020'!N74-99208.67</f>
        <v>-540018.31999999995</v>
      </c>
    </row>
    <row r="45" spans="1:15" s="30" customFormat="1" ht="12" x14ac:dyDescent="0.2">
      <c r="A45" s="52" t="s">
        <v>191</v>
      </c>
      <c r="B45" s="92">
        <f t="shared" ref="B45:M45" si="11">B38-B41</f>
        <v>-498323.08999999863</v>
      </c>
      <c r="C45" s="92">
        <f t="shared" si="11"/>
        <v>-324913.70999999985</v>
      </c>
      <c r="D45" s="92">
        <f t="shared" si="11"/>
        <v>-402896.80999999866</v>
      </c>
      <c r="E45" s="92">
        <f t="shared" si="11"/>
        <v>-403086.08000000077</v>
      </c>
      <c r="F45" s="92">
        <f t="shared" si="11"/>
        <v>-396857.57000000036</v>
      </c>
      <c r="G45" s="92">
        <f t="shared" si="11"/>
        <v>-573351.53999999934</v>
      </c>
      <c r="H45" s="92">
        <f t="shared" si="11"/>
        <v>-365498.72000000067</v>
      </c>
      <c r="I45" s="92">
        <f t="shared" si="11"/>
        <v>-327967.57999999973</v>
      </c>
      <c r="J45" s="92">
        <f t="shared" si="11"/>
        <v>-581697.89999999991</v>
      </c>
      <c r="K45" s="92">
        <f t="shared" si="11"/>
        <v>-290173.01000000007</v>
      </c>
      <c r="L45" s="92">
        <f t="shared" si="11"/>
        <v>95182.530000001396</v>
      </c>
      <c r="M45" s="92">
        <f t="shared" si="11"/>
        <v>875523.05999999924</v>
      </c>
    </row>
    <row r="46" spans="1:15" s="30" customFormat="1" ht="12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</row>
    <row r="47" spans="1:15" s="30" customFormat="1" ht="12" x14ac:dyDescent="0.2">
      <c r="A47" s="30" t="s">
        <v>192</v>
      </c>
      <c r="B47" s="54">
        <f t="shared" ref="B47:M47" si="12">B16+B24+B34+B45</f>
        <v>-33509.579999994661</v>
      </c>
      <c r="C47" s="54">
        <f t="shared" si="12"/>
        <v>11480.369999999297</v>
      </c>
      <c r="D47" s="54">
        <f t="shared" si="12"/>
        <v>-184743.94000000518</v>
      </c>
      <c r="E47" s="54">
        <f t="shared" si="12"/>
        <v>-678013.29999999981</v>
      </c>
      <c r="F47" s="54">
        <f t="shared" si="12"/>
        <v>45433.580000000016</v>
      </c>
      <c r="G47" s="54">
        <f t="shared" si="12"/>
        <v>1693296.8700000022</v>
      </c>
      <c r="H47" s="54">
        <f t="shared" si="12"/>
        <v>-661257.06000000215</v>
      </c>
      <c r="I47" s="54">
        <f t="shared" si="12"/>
        <v>-667861.98999999824</v>
      </c>
      <c r="J47" s="54">
        <f t="shared" si="12"/>
        <v>203962.14000000176</v>
      </c>
      <c r="K47" s="54">
        <f t="shared" si="12"/>
        <v>-830633.10000000382</v>
      </c>
      <c r="L47" s="54">
        <f t="shared" si="12"/>
        <v>405161.51000000117</v>
      </c>
      <c r="M47" s="54">
        <f t="shared" si="12"/>
        <v>2759915.78</v>
      </c>
    </row>
    <row r="48" spans="1:15" s="30" customFormat="1" ht="12" x14ac:dyDescent="0.2"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</row>
    <row r="49" spans="1:41" s="30" customFormat="1" ht="12" x14ac:dyDescent="0.2">
      <c r="A49" s="30" t="s">
        <v>193</v>
      </c>
      <c r="B49" s="54">
        <f>'[3]balancete 2020'!B7</f>
        <v>2702359.29</v>
      </c>
      <c r="C49" s="54">
        <f>'[3]balancete 2020'!C7</f>
        <v>2668849.71</v>
      </c>
      <c r="D49" s="54">
        <f>'[3]balancete 2020'!D7</f>
        <v>2680330.02</v>
      </c>
      <c r="E49" s="54">
        <f>'[3]balancete 2020'!E7</f>
        <v>2495586.08</v>
      </c>
      <c r="F49" s="54">
        <f>'[3]balancete 2020'!F7</f>
        <v>1817572.78</v>
      </c>
      <c r="G49" s="54">
        <f>'[3]balancete 2020'!G7</f>
        <v>1863006.3599999999</v>
      </c>
      <c r="H49" s="54">
        <f>'[3]balancete 2020'!H7</f>
        <v>3556303.2299999995</v>
      </c>
      <c r="I49" s="54">
        <f>'[3]balancete 2020'!I7</f>
        <v>2895046.17</v>
      </c>
      <c r="J49" s="54">
        <f>'[3]balancete 2020'!J7</f>
        <v>2227184.1799999997</v>
      </c>
      <c r="K49" s="54">
        <f>'[3]balancete 2020'!K7</f>
        <v>2431146.3200000003</v>
      </c>
      <c r="L49" s="54">
        <f>'[3]balancete 2020'!L7</f>
        <v>1600513.2200000002</v>
      </c>
      <c r="M49" s="54">
        <f>'[3]balancete 2020'!M7</f>
        <v>2005674.73</v>
      </c>
      <c r="O49" s="45"/>
    </row>
    <row r="50" spans="1:41" s="30" customFormat="1" ht="12" x14ac:dyDescent="0.2">
      <c r="A50" s="52" t="s">
        <v>194</v>
      </c>
      <c r="B50" s="92">
        <f t="shared" ref="B50:M50" si="13">B47+B49</f>
        <v>2668849.7100000056</v>
      </c>
      <c r="C50" s="92">
        <f t="shared" si="13"/>
        <v>2680330.0799999991</v>
      </c>
      <c r="D50" s="92">
        <f t="shared" si="13"/>
        <v>2495586.079999995</v>
      </c>
      <c r="E50" s="92">
        <f t="shared" si="13"/>
        <v>1817572.7800000003</v>
      </c>
      <c r="F50" s="92">
        <f t="shared" si="13"/>
        <v>1863006.36</v>
      </c>
      <c r="G50" s="92">
        <f t="shared" si="13"/>
        <v>3556303.2300000023</v>
      </c>
      <c r="H50" s="92">
        <f t="shared" si="13"/>
        <v>2895046.1699999971</v>
      </c>
      <c r="I50" s="92">
        <f t="shared" si="13"/>
        <v>2227184.1800000016</v>
      </c>
      <c r="J50" s="92">
        <f t="shared" si="13"/>
        <v>2431146.3200000012</v>
      </c>
      <c r="K50" s="92">
        <f t="shared" si="13"/>
        <v>1600513.2199999965</v>
      </c>
      <c r="L50" s="92">
        <f t="shared" si="13"/>
        <v>2005674.7300000014</v>
      </c>
      <c r="M50" s="92">
        <f t="shared" si="13"/>
        <v>4765590.51</v>
      </c>
      <c r="O50" s="45"/>
    </row>
    <row r="51" spans="1:41" s="33" customFormat="1" ht="12.75" customHeight="1" x14ac:dyDescent="0.2">
      <c r="A51" s="30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45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  <c r="AA51" s="54"/>
      <c r="AB51" s="54"/>
      <c r="AC51" s="54"/>
      <c r="AD51" s="54"/>
      <c r="AE51" s="54"/>
      <c r="AF51" s="54"/>
      <c r="AG51" s="54"/>
      <c r="AH51" s="54"/>
      <c r="AI51" s="54"/>
      <c r="AJ51" s="54"/>
      <c r="AK51" s="54"/>
      <c r="AL51" s="54"/>
      <c r="AM51" s="54"/>
      <c r="AN51" s="54"/>
      <c r="AO51" s="54"/>
    </row>
    <row r="52" spans="1:41" s="33" customFormat="1" ht="12.75" customHeight="1" x14ac:dyDescent="0.2">
      <c r="A52" s="30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45"/>
      <c r="M52" s="54"/>
      <c r="N52" s="54"/>
      <c r="O52" s="45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  <c r="AA52" s="54"/>
      <c r="AB52" s="54"/>
      <c r="AC52" s="54"/>
      <c r="AD52" s="54"/>
      <c r="AE52" s="54"/>
      <c r="AF52" s="54"/>
      <c r="AG52" s="54"/>
      <c r="AH52" s="54"/>
      <c r="AI52" s="54"/>
      <c r="AJ52" s="54"/>
      <c r="AK52" s="54"/>
      <c r="AL52" s="54"/>
      <c r="AM52" s="54"/>
      <c r="AN52" s="54"/>
      <c r="AO52" s="54"/>
    </row>
    <row r="53" spans="1:41" s="33" customFormat="1" ht="12" x14ac:dyDescent="0.2">
      <c r="A53" s="45"/>
      <c r="B53" s="46"/>
      <c r="C53" s="46"/>
      <c r="D53" s="46"/>
      <c r="E53" s="46"/>
      <c r="F53" s="46"/>
      <c r="G53" s="46"/>
      <c r="H53" s="46"/>
      <c r="I53" s="46"/>
      <c r="J53" s="46"/>
      <c r="K53" s="46"/>
      <c r="L53" s="46"/>
      <c r="M53" s="46"/>
      <c r="O53" s="56"/>
    </row>
    <row r="54" spans="1:41" s="33" customFormat="1" ht="12" x14ac:dyDescent="0.2">
      <c r="A54" s="82" t="str">
        <f>'[5]demonst de origens e recursos'!A46:I46</f>
        <v>Carazinho, 31 de dezembro de 2.020</v>
      </c>
      <c r="B54" s="82"/>
      <c r="C54" s="82"/>
      <c r="D54" s="82"/>
      <c r="E54" s="82"/>
      <c r="F54" s="82"/>
      <c r="G54" s="82"/>
      <c r="H54" s="82"/>
      <c r="I54" s="82"/>
      <c r="J54" s="82"/>
      <c r="K54" s="82"/>
      <c r="L54" s="82"/>
      <c r="M54" s="82"/>
    </row>
    <row r="55" spans="1:41" s="33" customFormat="1" ht="14.25" x14ac:dyDescent="0.2">
      <c r="A55" s="27"/>
      <c r="B55" s="12"/>
      <c r="C55" s="12"/>
      <c r="D55" s="12"/>
      <c r="E55" s="12"/>
      <c r="F55" s="12"/>
      <c r="G55" s="12"/>
      <c r="H55" s="12"/>
      <c r="I55" s="12"/>
      <c r="J55" s="46"/>
      <c r="K55" s="44"/>
      <c r="L55" s="46"/>
      <c r="M55" s="46"/>
    </row>
    <row r="56" spans="1:41" s="33" customFormat="1" ht="14.25" x14ac:dyDescent="0.2">
      <c r="A56" s="27"/>
      <c r="B56" s="12"/>
      <c r="C56" s="12"/>
      <c r="D56" s="12"/>
      <c r="E56" s="12"/>
      <c r="F56" s="12"/>
      <c r="G56" s="12"/>
      <c r="H56" s="12"/>
      <c r="I56" s="12"/>
      <c r="J56" s="56"/>
      <c r="K56" s="46"/>
      <c r="L56" s="46"/>
      <c r="M56" s="46"/>
    </row>
    <row r="57" spans="1:41" s="33" customFormat="1" ht="14.25" x14ac:dyDescent="0.2">
      <c r="A57" s="27"/>
      <c r="B57" s="2"/>
      <c r="C57" s="2" t="s">
        <v>60</v>
      </c>
      <c r="D57" s="12"/>
      <c r="E57" s="12"/>
      <c r="F57" s="12"/>
      <c r="G57" s="12"/>
      <c r="H57" s="2" t="s">
        <v>61</v>
      </c>
      <c r="I57" s="12"/>
      <c r="J57" s="53"/>
      <c r="K57" s="46"/>
      <c r="L57" s="46"/>
      <c r="M57" s="46"/>
    </row>
    <row r="58" spans="1:41" s="33" customFormat="1" ht="14.25" x14ac:dyDescent="0.2">
      <c r="A58" s="27"/>
      <c r="B58" s="2"/>
      <c r="C58" s="2" t="s">
        <v>62</v>
      </c>
      <c r="D58" s="12"/>
      <c r="E58" s="12"/>
      <c r="F58" s="12"/>
      <c r="G58" s="12"/>
      <c r="H58" s="2" t="s">
        <v>63</v>
      </c>
      <c r="I58" s="12"/>
      <c r="J58" s="34"/>
      <c r="K58" s="53"/>
      <c r="L58" s="46"/>
      <c r="M58" s="53"/>
    </row>
    <row r="59" spans="1:41" s="33" customFormat="1" ht="14.25" x14ac:dyDescent="0.2">
      <c r="A59" s="27"/>
      <c r="B59" s="24"/>
      <c r="C59" s="24" t="s">
        <v>64</v>
      </c>
      <c r="D59" s="12"/>
      <c r="E59" s="12"/>
      <c r="F59" s="12"/>
      <c r="G59" s="12"/>
      <c r="H59" s="2" t="s">
        <v>65</v>
      </c>
      <c r="I59" s="12"/>
      <c r="J59" s="57"/>
      <c r="K59" s="57"/>
      <c r="L59" s="55"/>
      <c r="M59" s="55"/>
    </row>
  </sheetData>
  <mergeCells count="2">
    <mergeCell ref="A2:M2"/>
    <mergeCell ref="A54:M54"/>
  </mergeCells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A0993C-0880-4814-9C34-92D9F0A154C1}">
  <dimension ref="A1:G41"/>
  <sheetViews>
    <sheetView workbookViewId="0">
      <selection activeCell="C13" sqref="C13"/>
    </sheetView>
  </sheetViews>
  <sheetFormatPr defaultRowHeight="15" x14ac:dyDescent="0.25"/>
  <cols>
    <col min="2" max="2" width="44.140625" bestFit="1" customWidth="1"/>
    <col min="4" max="4" width="15.7109375" bestFit="1" customWidth="1"/>
    <col min="6" max="6" width="15.7109375" bestFit="1" customWidth="1"/>
  </cols>
  <sheetData>
    <row r="1" spans="1:7" s="12" customFormat="1" ht="18" x14ac:dyDescent="0.25">
      <c r="A1" s="78" t="s">
        <v>0</v>
      </c>
      <c r="B1" s="78"/>
      <c r="C1" s="78"/>
      <c r="D1" s="78"/>
      <c r="E1" s="78"/>
      <c r="F1" s="78"/>
      <c r="G1" s="78"/>
    </row>
    <row r="2" spans="1:7" s="12" customFormat="1" ht="14.25" x14ac:dyDescent="0.2">
      <c r="A2" s="79" t="s">
        <v>1</v>
      </c>
      <c r="B2" s="79"/>
      <c r="C2" s="79"/>
      <c r="D2" s="79"/>
      <c r="E2" s="79"/>
      <c r="F2" s="79"/>
      <c r="G2" s="79"/>
    </row>
    <row r="3" spans="1:7" s="12" customFormat="1" ht="14.25" x14ac:dyDescent="0.2">
      <c r="A3" s="27"/>
      <c r="D3" s="13"/>
      <c r="E3" s="13"/>
      <c r="F3" s="13"/>
      <c r="G3" s="13"/>
    </row>
    <row r="4" spans="1:7" s="12" customFormat="1" ht="15.75" x14ac:dyDescent="0.25">
      <c r="A4" s="75" t="s">
        <v>195</v>
      </c>
      <c r="B4" s="75"/>
      <c r="C4" s="75"/>
      <c r="D4" s="75"/>
      <c r="E4" s="75"/>
      <c r="F4" s="75"/>
      <c r="G4" s="75"/>
    </row>
    <row r="5" spans="1:7" s="12" customFormat="1" ht="15.75" x14ac:dyDescent="0.25">
      <c r="A5" s="75" t="s">
        <v>139</v>
      </c>
      <c r="B5" s="75"/>
      <c r="C5" s="75"/>
      <c r="D5" s="75"/>
      <c r="E5" s="75"/>
      <c r="F5" s="75"/>
      <c r="G5" s="75"/>
    </row>
    <row r="6" spans="1:7" s="12" customFormat="1" ht="14.25" x14ac:dyDescent="0.2">
      <c r="A6" s="27"/>
      <c r="D6" s="13"/>
      <c r="E6" s="13"/>
      <c r="F6" s="13"/>
      <c r="G6" s="13"/>
    </row>
    <row r="7" spans="1:7" s="7" customFormat="1" x14ac:dyDescent="0.25">
      <c r="A7" s="7" t="s">
        <v>196</v>
      </c>
      <c r="D7" s="5">
        <v>44196</v>
      </c>
      <c r="E7" s="58" t="s">
        <v>4</v>
      </c>
      <c r="F7" s="5">
        <v>43830</v>
      </c>
      <c r="G7" s="58" t="s">
        <v>4</v>
      </c>
    </row>
    <row r="8" spans="1:7" s="27" customFormat="1" ht="14.25" x14ac:dyDescent="0.2">
      <c r="B8" s="27" t="s">
        <v>197</v>
      </c>
      <c r="D8" s="26">
        <f>'[5]balanço e dre '!F173</f>
        <v>44731575.339999996</v>
      </c>
      <c r="E8" s="59">
        <f>D8/D12*100</f>
        <v>87.947374617891995</v>
      </c>
      <c r="F8" s="26">
        <v>41256435.559999995</v>
      </c>
      <c r="G8" s="59">
        <v>87.33023741017773</v>
      </c>
    </row>
    <row r="9" spans="1:7" s="27" customFormat="1" ht="14.25" x14ac:dyDescent="0.2">
      <c r="B9" s="27" t="s">
        <v>198</v>
      </c>
      <c r="D9" s="26">
        <f>'[5]balanço e dre '!F208</f>
        <v>135780.73000000001</v>
      </c>
      <c r="E9" s="59">
        <f>D9/D12*100</f>
        <v>0.26696038841543845</v>
      </c>
      <c r="F9" s="26">
        <v>308227.39</v>
      </c>
      <c r="G9" s="59">
        <v>0.65244538893508441</v>
      </c>
    </row>
    <row r="10" spans="1:7" s="27" customFormat="1" ht="14.25" x14ac:dyDescent="0.2">
      <c r="B10" s="27" t="s">
        <v>199</v>
      </c>
      <c r="D10" s="26">
        <f>'[5]balanço e dre '!F194</f>
        <v>5994395.6700000009</v>
      </c>
      <c r="E10" s="59">
        <f>D10/D12*100</f>
        <v>11.785664993692571</v>
      </c>
      <c r="F10" s="26">
        <v>5677205.1399999997</v>
      </c>
      <c r="G10" s="59">
        <v>12.017317200887176</v>
      </c>
    </row>
    <row r="11" spans="1:7" s="27" customFormat="1" ht="14.25" x14ac:dyDescent="0.2">
      <c r="D11" s="26"/>
      <c r="E11" s="59"/>
      <c r="F11" s="26"/>
      <c r="G11" s="59"/>
    </row>
    <row r="12" spans="1:7" s="7" customFormat="1" x14ac:dyDescent="0.25">
      <c r="A12" s="7" t="s">
        <v>200</v>
      </c>
      <c r="D12" s="25">
        <f>SUM(D8:D11)</f>
        <v>50861751.739999995</v>
      </c>
      <c r="E12" s="31">
        <f>D12/D12*100</f>
        <v>100</v>
      </c>
      <c r="F12" s="25">
        <v>47241868.089999996</v>
      </c>
      <c r="G12" s="31">
        <v>100</v>
      </c>
    </row>
    <row r="13" spans="1:7" s="27" customFormat="1" ht="14.25" x14ac:dyDescent="0.2">
      <c r="D13" s="26"/>
      <c r="E13" s="59"/>
      <c r="F13" s="26"/>
      <c r="G13" s="59"/>
    </row>
    <row r="14" spans="1:7" s="7" customFormat="1" x14ac:dyDescent="0.25">
      <c r="A14" s="7" t="s">
        <v>201</v>
      </c>
      <c r="D14" s="25"/>
      <c r="E14" s="31"/>
      <c r="F14" s="25"/>
      <c r="G14" s="31"/>
    </row>
    <row r="15" spans="1:7" s="27" customFormat="1" ht="14.25" x14ac:dyDescent="0.2">
      <c r="B15" s="27" t="s">
        <v>202</v>
      </c>
      <c r="D15" s="26">
        <f>'[5]balanço e dre '!F181+'[5]balanço e dre '!F182</f>
        <v>11463284.710000001</v>
      </c>
      <c r="E15" s="59">
        <f>D15/D20*100</f>
        <v>38.131472203213249</v>
      </c>
      <c r="F15" s="26">
        <v>9700588.5500000007</v>
      </c>
      <c r="G15" s="59">
        <v>36.324699101510063</v>
      </c>
    </row>
    <row r="16" spans="1:7" s="27" customFormat="1" ht="14.25" x14ac:dyDescent="0.2">
      <c r="B16" s="27" t="s">
        <v>203</v>
      </c>
      <c r="D16" s="26">
        <f>'[5]balanço e dre '!F178</f>
        <v>15553505.9</v>
      </c>
      <c r="E16" s="59">
        <f>D16/D$20*100</f>
        <v>51.737184663222344</v>
      </c>
      <c r="F16" s="26">
        <v>14074004.050000001</v>
      </c>
      <c r="G16" s="59">
        <v>52.701334525695756</v>
      </c>
    </row>
    <row r="17" spans="1:7" s="27" customFormat="1" ht="14.25" x14ac:dyDescent="0.2">
      <c r="B17" s="27" t="s">
        <v>204</v>
      </c>
      <c r="D17" s="26">
        <f>'[5]balanço e dre '!F183+'[5]balanço e dre '!F184-D26</f>
        <v>3043021.65</v>
      </c>
      <c r="E17" s="59">
        <f>D17/D$20*100</f>
        <v>10.122307732575814</v>
      </c>
      <c r="F17" s="26">
        <v>2895940.54</v>
      </c>
      <c r="G17" s="59">
        <v>10.844101694362095</v>
      </c>
    </row>
    <row r="18" spans="1:7" s="27" customFormat="1" ht="14.25" x14ac:dyDescent="0.2">
      <c r="B18" s="27" t="s">
        <v>205</v>
      </c>
      <c r="D18" s="26">
        <f>'[5]balanço e dre '!F203</f>
        <v>2716.27</v>
      </c>
      <c r="E18" s="59">
        <f>D18/D$20*100</f>
        <v>9.0354009886073963E-3</v>
      </c>
      <c r="F18" s="26">
        <v>34680.639999999999</v>
      </c>
      <c r="G18" s="59">
        <v>0.12986467843209304</v>
      </c>
    </row>
    <row r="19" spans="1:7" s="27" customFormat="1" ht="14.25" x14ac:dyDescent="0.2">
      <c r="D19" s="26"/>
      <c r="E19" s="59"/>
      <c r="F19" s="26"/>
      <c r="G19" s="59"/>
    </row>
    <row r="20" spans="1:7" s="7" customFormat="1" x14ac:dyDescent="0.25">
      <c r="A20" s="7" t="s">
        <v>206</v>
      </c>
      <c r="D20" s="25">
        <f>SUM(D15:D18)</f>
        <v>30062528.529999997</v>
      </c>
      <c r="E20" s="31">
        <f>D20/D20*100</f>
        <v>100</v>
      </c>
      <c r="F20" s="25">
        <v>26705213.780000001</v>
      </c>
      <c r="G20" s="31">
        <v>100</v>
      </c>
    </row>
    <row r="21" spans="1:7" s="27" customFormat="1" ht="14.25" x14ac:dyDescent="0.2">
      <c r="D21" s="26"/>
      <c r="E21" s="59"/>
      <c r="F21" s="26"/>
      <c r="G21" s="59"/>
    </row>
    <row r="22" spans="1:7" s="27" customFormat="1" x14ac:dyDescent="0.25">
      <c r="A22" s="7" t="s">
        <v>207</v>
      </c>
      <c r="B22" s="7"/>
      <c r="C22" s="7"/>
      <c r="D22" s="25">
        <f>D12-D20</f>
        <v>20799223.209999997</v>
      </c>
      <c r="E22" s="31"/>
      <c r="F22" s="25">
        <v>20536654.309999995</v>
      </c>
      <c r="G22" s="31"/>
    </row>
    <row r="23" spans="1:7" s="27" customFormat="1" ht="14.25" x14ac:dyDescent="0.2">
      <c r="D23" s="26"/>
      <c r="E23" s="59"/>
      <c r="F23" s="26"/>
      <c r="G23" s="59"/>
    </row>
    <row r="24" spans="1:7" s="7" customFormat="1" x14ac:dyDescent="0.25">
      <c r="A24" s="7" t="s">
        <v>208</v>
      </c>
    </row>
    <row r="25" spans="1:7" s="27" customFormat="1" ht="14.25" x14ac:dyDescent="0.2">
      <c r="B25" s="27" t="s">
        <v>209</v>
      </c>
      <c r="D25" s="26">
        <f>'[5]balanço e dre '!F175</f>
        <v>17723277.140000001</v>
      </c>
      <c r="E25" s="59">
        <f>D25/D12*100</f>
        <v>34.845982557973144</v>
      </c>
      <c r="F25" s="26">
        <v>16494885.550000001</v>
      </c>
      <c r="G25" s="59">
        <v>34.915819837132105</v>
      </c>
    </row>
    <row r="26" spans="1:7" s="27" customFormat="1" ht="14.25" x14ac:dyDescent="0.2">
      <c r="B26" s="27" t="s">
        <v>210</v>
      </c>
      <c r="D26" s="26">
        <f>'[5]balanço e dre '!F190</f>
        <v>11786</v>
      </c>
      <c r="E26" s="59">
        <f>D26/D12*100</f>
        <v>2.3172619103346677E-2</v>
      </c>
      <c r="F26" s="26">
        <v>13892.74</v>
      </c>
      <c r="G26" s="59">
        <v>2.9407685516442923E-2</v>
      </c>
    </row>
    <row r="27" spans="1:7" s="27" customFormat="1" ht="14.25" x14ac:dyDescent="0.2">
      <c r="B27" s="27" t="s">
        <v>211</v>
      </c>
      <c r="D27" s="26">
        <f>'[5]balanço e dre '!F206</f>
        <v>2861897.56</v>
      </c>
      <c r="E27" s="59">
        <f>D27/D12*100</f>
        <v>5.6268167377123071</v>
      </c>
      <c r="F27" s="26">
        <v>3240084.43</v>
      </c>
      <c r="G27" s="59">
        <v>6.8585019200073729</v>
      </c>
    </row>
    <row r="28" spans="1:7" s="27" customFormat="1" ht="14.25" x14ac:dyDescent="0.2">
      <c r="B28" s="27" t="s">
        <v>212</v>
      </c>
      <c r="D28" s="26">
        <f>'[5]balanço e dre '!F209</f>
        <v>202262.50999999797</v>
      </c>
      <c r="E28" s="59">
        <f>D28/D12*100</f>
        <v>0.39767114399429848</v>
      </c>
      <c r="F28" s="26">
        <v>787791.58999999519</v>
      </c>
      <c r="G28" s="59">
        <v>1.6675707838207869</v>
      </c>
    </row>
    <row r="29" spans="1:7" s="27" customFormat="1" ht="14.25" x14ac:dyDescent="0.2">
      <c r="D29" s="26"/>
      <c r="E29" s="26"/>
      <c r="F29" s="26"/>
      <c r="G29" s="26"/>
    </row>
    <row r="30" spans="1:7" s="27" customFormat="1" x14ac:dyDescent="0.25">
      <c r="A30" s="7" t="s">
        <v>213</v>
      </c>
      <c r="D30" s="25">
        <f>SUM(D25:D28)</f>
        <v>20799223.209999997</v>
      </c>
      <c r="E30" s="31">
        <f>D30/D12*100</f>
        <v>40.893643058783091</v>
      </c>
      <c r="F30" s="25">
        <v>20536654.309999999</v>
      </c>
      <c r="G30" s="31">
        <v>43.471300226476714</v>
      </c>
    </row>
    <row r="31" spans="1:7" s="27" customFormat="1" ht="14.25" x14ac:dyDescent="0.2">
      <c r="D31" s="26"/>
      <c r="E31" s="26"/>
      <c r="F31" s="26"/>
      <c r="G31" s="26"/>
    </row>
    <row r="32" spans="1:7" s="27" customFormat="1" ht="14.25" x14ac:dyDescent="0.2">
      <c r="D32" s="26"/>
      <c r="E32" s="26"/>
      <c r="F32" s="26"/>
      <c r="G32" s="26"/>
    </row>
    <row r="33" spans="1:7" s="27" customFormat="1" ht="14.25" x14ac:dyDescent="0.2">
      <c r="D33" s="26"/>
      <c r="E33" s="26"/>
      <c r="F33" s="26"/>
      <c r="G33" s="26"/>
    </row>
    <row r="34" spans="1:7" s="27" customFormat="1" ht="14.25" x14ac:dyDescent="0.2">
      <c r="A34" s="79" t="str">
        <f>'[5]fluxo de caixa'!A54:M54</f>
        <v>Carazinho, 31 de dezembro de 2.020</v>
      </c>
      <c r="B34" s="79"/>
      <c r="C34" s="79"/>
      <c r="D34" s="79"/>
      <c r="E34" s="79"/>
      <c r="F34" s="79"/>
      <c r="G34" s="79"/>
    </row>
    <row r="35" spans="1:7" s="27" customFormat="1" ht="14.25" x14ac:dyDescent="0.2"/>
    <row r="36" spans="1:7" s="27" customFormat="1" ht="14.25" x14ac:dyDescent="0.2"/>
    <row r="37" spans="1:7" s="27" customFormat="1" ht="14.25" x14ac:dyDescent="0.2">
      <c r="B37" s="2" t="s">
        <v>60</v>
      </c>
      <c r="C37" s="2"/>
      <c r="D37" s="12"/>
      <c r="E37" s="77" t="s">
        <v>61</v>
      </c>
      <c r="F37" s="77"/>
    </row>
    <row r="38" spans="1:7" s="27" customFormat="1" ht="14.25" x14ac:dyDescent="0.2">
      <c r="B38" s="2" t="s">
        <v>62</v>
      </c>
      <c r="C38" s="2"/>
      <c r="D38" s="12"/>
      <c r="E38" s="77" t="s">
        <v>63</v>
      </c>
      <c r="F38" s="77"/>
    </row>
    <row r="39" spans="1:7" s="27" customFormat="1" ht="14.25" x14ac:dyDescent="0.2">
      <c r="B39" s="24" t="s">
        <v>64</v>
      </c>
      <c r="C39" s="24"/>
      <c r="D39" s="12"/>
      <c r="E39" s="77" t="s">
        <v>65</v>
      </c>
      <c r="F39" s="77"/>
    </row>
    <row r="40" spans="1:7" s="27" customFormat="1" ht="14.25" x14ac:dyDescent="0.2"/>
    <row r="41" spans="1:7" s="27" customFormat="1" ht="14.25" x14ac:dyDescent="0.2">
      <c r="D41" s="26"/>
      <c r="E41" s="26"/>
      <c r="F41" s="26"/>
      <c r="G41" s="26"/>
    </row>
  </sheetData>
  <mergeCells count="8">
    <mergeCell ref="E38:F38"/>
    <mergeCell ref="E39:F39"/>
    <mergeCell ref="A1:G1"/>
    <mergeCell ref="A2:G2"/>
    <mergeCell ref="A4:G4"/>
    <mergeCell ref="A5:G5"/>
    <mergeCell ref="A34:G34"/>
    <mergeCell ref="E37:F37"/>
  </mergeCells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8BC3D-403D-4803-B559-090483F31CCE}">
  <dimension ref="A1:H25"/>
  <sheetViews>
    <sheetView workbookViewId="0">
      <selection sqref="A1:XFD25"/>
    </sheetView>
  </sheetViews>
  <sheetFormatPr defaultRowHeight="15" x14ac:dyDescent="0.25"/>
  <cols>
    <col min="1" max="1" width="32.140625" bestFit="1" customWidth="1"/>
    <col min="2" max="2" width="14.85546875" bestFit="1" customWidth="1"/>
    <col min="3" max="3" width="16.7109375" bestFit="1" customWidth="1"/>
    <col min="4" max="4" width="22.42578125" bestFit="1" customWidth="1"/>
    <col min="5" max="5" width="14.5703125" bestFit="1" customWidth="1"/>
  </cols>
  <sheetData>
    <row r="1" spans="1:8" s="12" customFormat="1" ht="18" x14ac:dyDescent="0.25">
      <c r="A1" s="78" t="s">
        <v>0</v>
      </c>
      <c r="B1" s="78"/>
      <c r="C1" s="78"/>
      <c r="D1" s="78"/>
      <c r="E1" s="78"/>
      <c r="G1" s="13"/>
    </row>
    <row r="2" spans="1:8" s="12" customFormat="1" ht="14.25" x14ac:dyDescent="0.2">
      <c r="A2" s="79" t="s">
        <v>1</v>
      </c>
      <c r="B2" s="79"/>
      <c r="C2" s="79"/>
      <c r="D2" s="79"/>
      <c r="E2" s="79"/>
      <c r="G2" s="13"/>
    </row>
    <row r="3" spans="1:8" s="12" customFormat="1" ht="12.75" x14ac:dyDescent="0.2">
      <c r="G3" s="13"/>
    </row>
    <row r="4" spans="1:8" s="12" customFormat="1" ht="15.75" x14ac:dyDescent="0.25">
      <c r="A4" s="75" t="s">
        <v>214</v>
      </c>
      <c r="B4" s="75"/>
      <c r="C4" s="75"/>
      <c r="D4" s="75"/>
      <c r="E4" s="75"/>
      <c r="G4" s="13"/>
    </row>
    <row r="5" spans="1:8" s="12" customFormat="1" ht="12.75" x14ac:dyDescent="0.2">
      <c r="G5" s="13"/>
    </row>
    <row r="6" spans="1:8" s="12" customFormat="1" ht="13.5" thickBot="1" x14ac:dyDescent="0.25">
      <c r="G6" s="13"/>
    </row>
    <row r="7" spans="1:8" s="4" customFormat="1" x14ac:dyDescent="0.25">
      <c r="A7" s="60" t="s">
        <v>215</v>
      </c>
      <c r="B7" s="60" t="s">
        <v>216</v>
      </c>
      <c r="C7" s="60" t="s">
        <v>217</v>
      </c>
      <c r="D7" s="60" t="s">
        <v>218</v>
      </c>
      <c r="E7" s="60" t="s">
        <v>219</v>
      </c>
      <c r="G7" s="31"/>
    </row>
    <row r="8" spans="1:8" s="4" customFormat="1" ht="15.75" thickBot="1" x14ac:dyDescent="0.3">
      <c r="A8" s="61"/>
      <c r="B8" s="62" t="s">
        <v>220</v>
      </c>
      <c r="C8" s="62" t="s">
        <v>221</v>
      </c>
      <c r="D8" s="62" t="s">
        <v>222</v>
      </c>
      <c r="E8" s="62"/>
      <c r="G8" s="31"/>
    </row>
    <row r="9" spans="1:8" s="27" customFormat="1" x14ac:dyDescent="0.25">
      <c r="A9" s="63" t="s">
        <v>229</v>
      </c>
      <c r="B9" s="64">
        <f>'[5]balanço e dre '!H97</f>
        <v>1306718.3600000001</v>
      </c>
      <c r="C9" s="64">
        <v>0</v>
      </c>
      <c r="D9" s="64">
        <f>'[5]balanço e dre '!H98</f>
        <v>851131.36999999394</v>
      </c>
      <c r="E9" s="65">
        <f>SUM(B9:D9)</f>
        <v>2157849.7299999939</v>
      </c>
      <c r="G9" s="26"/>
      <c r="H9" s="87"/>
    </row>
    <row r="10" spans="1:8" s="27" customFormat="1" ht="14.25" x14ac:dyDescent="0.2">
      <c r="A10" s="66" t="s">
        <v>223</v>
      </c>
      <c r="B10" s="67">
        <v>0</v>
      </c>
      <c r="C10" s="67">
        <v>0</v>
      </c>
      <c r="D10" s="67">
        <f>'[5]demonst de origens e recursos'!G11</f>
        <v>128232.31</v>
      </c>
      <c r="E10" s="68"/>
      <c r="G10" s="26"/>
    </row>
    <row r="11" spans="1:8" s="27" customFormat="1" ht="14.25" x14ac:dyDescent="0.2">
      <c r="A11" s="66" t="s">
        <v>224</v>
      </c>
      <c r="B11" s="67">
        <v>0</v>
      </c>
      <c r="C11" s="67">
        <v>0</v>
      </c>
      <c r="D11" s="67">
        <f>'[5]balanço e dre '!F209</f>
        <v>202262.50999999797</v>
      </c>
      <c r="E11" s="68"/>
      <c r="F11" s="87"/>
      <c r="G11" s="26"/>
      <c r="H11" s="87"/>
    </row>
    <row r="12" spans="1:8" s="27" customFormat="1" ht="14.25" x14ac:dyDescent="0.2">
      <c r="A12" s="66"/>
      <c r="B12" s="67"/>
      <c r="C12" s="67"/>
      <c r="D12" s="67"/>
      <c r="E12" s="68"/>
      <c r="G12" s="26"/>
    </row>
    <row r="13" spans="1:8" s="7" customFormat="1" x14ac:dyDescent="0.25">
      <c r="A13" s="69" t="s">
        <v>230</v>
      </c>
      <c r="B13" s="70">
        <f>B9+C9</f>
        <v>1306718.3600000001</v>
      </c>
      <c r="C13" s="70">
        <v>0</v>
      </c>
      <c r="D13" s="70">
        <f>D9+D11+D10</f>
        <v>1181626.189999992</v>
      </c>
      <c r="E13" s="71">
        <f>SUM(B13:D13)</f>
        <v>2488344.5499999924</v>
      </c>
      <c r="G13" s="25"/>
    </row>
    <row r="14" spans="1:8" s="27" customFormat="1" thickBot="1" x14ac:dyDescent="0.25">
      <c r="A14" s="72"/>
      <c r="B14" s="73"/>
      <c r="C14" s="73"/>
      <c r="D14" s="73"/>
      <c r="E14" s="74"/>
      <c r="G14" s="26"/>
    </row>
    <row r="15" spans="1:8" s="27" customFormat="1" ht="14.25" x14ac:dyDescent="0.2">
      <c r="G15" s="26"/>
    </row>
    <row r="16" spans="1:8" s="27" customFormat="1" ht="14.25" x14ac:dyDescent="0.2">
      <c r="E16" s="32"/>
      <c r="G16" s="26"/>
    </row>
    <row r="17" spans="1:7" s="27" customFormat="1" ht="14.25" x14ac:dyDescent="0.2">
      <c r="D17" s="32"/>
      <c r="E17" s="32"/>
      <c r="G17" s="26"/>
    </row>
    <row r="18" spans="1:7" s="27" customFormat="1" ht="14.25" x14ac:dyDescent="0.2">
      <c r="E18" s="32"/>
      <c r="G18" s="26"/>
    </row>
    <row r="19" spans="1:7" s="27" customFormat="1" ht="14.25" x14ac:dyDescent="0.2">
      <c r="A19" s="79" t="str">
        <f>'[5]valor adicionado'!A34:G34</f>
        <v>Carazinho, 31 de dezembro de 2.020</v>
      </c>
      <c r="B19" s="79"/>
      <c r="C19" s="79"/>
      <c r="D19" s="79"/>
      <c r="E19" s="79"/>
      <c r="G19" s="26"/>
    </row>
    <row r="20" spans="1:7" s="27" customFormat="1" x14ac:dyDescent="0.25">
      <c r="G20" s="31"/>
    </row>
    <row r="21" spans="1:7" s="27" customFormat="1" x14ac:dyDescent="0.25">
      <c r="G21" s="31"/>
    </row>
    <row r="22" spans="1:7" s="27" customFormat="1" ht="14.25" x14ac:dyDescent="0.2">
      <c r="A22" s="2" t="s">
        <v>225</v>
      </c>
      <c r="B22" s="2"/>
      <c r="C22" s="12"/>
      <c r="D22" s="77" t="s">
        <v>61</v>
      </c>
      <c r="E22" s="77"/>
      <c r="G22" s="26"/>
    </row>
    <row r="23" spans="1:7" s="27" customFormat="1" ht="14.25" x14ac:dyDescent="0.2">
      <c r="A23" s="2" t="s">
        <v>226</v>
      </c>
      <c r="B23" s="2"/>
      <c r="C23" s="12"/>
      <c r="D23" s="77" t="s">
        <v>63</v>
      </c>
      <c r="E23" s="77"/>
      <c r="G23" s="26"/>
    </row>
    <row r="24" spans="1:7" s="27" customFormat="1" ht="14.25" x14ac:dyDescent="0.2">
      <c r="A24" s="24" t="s">
        <v>64</v>
      </c>
      <c r="B24" s="24"/>
      <c r="C24" s="12"/>
      <c r="D24" s="77" t="s">
        <v>65</v>
      </c>
      <c r="E24" s="77"/>
      <c r="G24" s="26"/>
    </row>
    <row r="25" spans="1:7" s="12" customFormat="1" ht="12.75" x14ac:dyDescent="0.2">
      <c r="G25" s="13"/>
    </row>
  </sheetData>
  <mergeCells count="7">
    <mergeCell ref="D24:E24"/>
    <mergeCell ref="A1:E1"/>
    <mergeCell ref="A2:E2"/>
    <mergeCell ref="A4:E4"/>
    <mergeCell ref="A19:E19"/>
    <mergeCell ref="D22:E22"/>
    <mergeCell ref="D23:E23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Balanço e DRE</vt:lpstr>
      <vt:lpstr>Demonstrativo Origens e Recurso</vt:lpstr>
      <vt:lpstr>Fluxo de Caixa</vt:lpstr>
      <vt:lpstr>Valor Adicionado</vt:lpstr>
      <vt:lpstr>Demons. Mutações do PL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 Pedralli</dc:creator>
  <cp:lastModifiedBy>Rafael Pedralli</cp:lastModifiedBy>
  <dcterms:created xsi:type="dcterms:W3CDTF">2026-03-30T20:09:12Z</dcterms:created>
  <dcterms:modified xsi:type="dcterms:W3CDTF">2026-03-30T20:24:10Z</dcterms:modified>
</cp:coreProperties>
</file>