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13_ncr:1_{9C9EB039-6DC8-4581-A6BB-B6E15C8E7991}" xr6:coauthVersionLast="47" xr6:coauthVersionMax="47" xr10:uidLastSave="{00000000-0000-0000-0000-000000000000}"/>
  <bookViews>
    <workbookView xWindow="-120" yWindow="-120" windowWidth="29040" windowHeight="15720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  <externalReference r:id="rId7"/>
    <externalReference r:id="rId8"/>
    <externalReference r:id="rId9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2" i="3" l="1"/>
  <c r="M49" i="3"/>
  <c r="L49" i="3"/>
  <c r="K49" i="3"/>
  <c r="J49" i="3"/>
  <c r="I49" i="3"/>
  <c r="H49" i="3"/>
  <c r="G49" i="3"/>
  <c r="F49" i="3"/>
  <c r="E49" i="3"/>
  <c r="D49" i="3"/>
  <c r="C49" i="3"/>
  <c r="B49" i="3"/>
  <c r="D45" i="3"/>
  <c r="C45" i="3"/>
  <c r="M44" i="3"/>
  <c r="M43" i="3"/>
  <c r="L43" i="3"/>
  <c r="K43" i="3"/>
  <c r="J43" i="3"/>
  <c r="I43" i="3"/>
  <c r="H43" i="3"/>
  <c r="G43" i="3"/>
  <c r="F43" i="3"/>
  <c r="E43" i="3"/>
  <c r="D43" i="3"/>
  <c r="C43" i="3"/>
  <c r="B43" i="3"/>
  <c r="M42" i="3"/>
  <c r="L42" i="3"/>
  <c r="K42" i="3"/>
  <c r="J42" i="3"/>
  <c r="I42" i="3"/>
  <c r="H42" i="3"/>
  <c r="G42" i="3"/>
  <c r="F42" i="3"/>
  <c r="F41" i="3" s="1"/>
  <c r="E42" i="3"/>
  <c r="E41" i="3" s="1"/>
  <c r="D42" i="3"/>
  <c r="C42" i="3"/>
  <c r="B42" i="3"/>
  <c r="M41" i="3"/>
  <c r="L41" i="3"/>
  <c r="K41" i="3"/>
  <c r="J41" i="3"/>
  <c r="I41" i="3"/>
  <c r="H41" i="3"/>
  <c r="G41" i="3"/>
  <c r="D41" i="3"/>
  <c r="C41" i="3"/>
  <c r="B41" i="3"/>
  <c r="M38" i="3"/>
  <c r="M45" i="3" s="1"/>
  <c r="L38" i="3"/>
  <c r="L45" i="3" s="1"/>
  <c r="K38" i="3"/>
  <c r="K45" i="3" s="1"/>
  <c r="J38" i="3"/>
  <c r="J45" i="3" s="1"/>
  <c r="I38" i="3"/>
  <c r="I45" i="3" s="1"/>
  <c r="H38" i="3"/>
  <c r="H45" i="3" s="1"/>
  <c r="G38" i="3"/>
  <c r="G45" i="3" s="1"/>
  <c r="F38" i="3"/>
  <c r="E38" i="3"/>
  <c r="E45" i="3" s="1"/>
  <c r="D38" i="3"/>
  <c r="C38" i="3"/>
  <c r="B38" i="3"/>
  <c r="B45" i="3" s="1"/>
  <c r="M33" i="3"/>
  <c r="L33" i="3"/>
  <c r="K33" i="3"/>
  <c r="J33" i="3"/>
  <c r="I33" i="3"/>
  <c r="H33" i="3"/>
  <c r="G33" i="3"/>
  <c r="F33" i="3"/>
  <c r="E33" i="3"/>
  <c r="D33" i="3"/>
  <c r="C33" i="3"/>
  <c r="B33" i="3"/>
  <c r="M32" i="3"/>
  <c r="L32" i="3"/>
  <c r="K32" i="3"/>
  <c r="J32" i="3"/>
  <c r="I32" i="3"/>
  <c r="H32" i="3"/>
  <c r="G32" i="3"/>
  <c r="F32" i="3"/>
  <c r="F31" i="3" s="1"/>
  <c r="E32" i="3"/>
  <c r="E31" i="3" s="1"/>
  <c r="D32" i="3"/>
  <c r="C32" i="3"/>
  <c r="B32" i="3"/>
  <c r="M31" i="3"/>
  <c r="L31" i="3"/>
  <c r="K31" i="3"/>
  <c r="J31" i="3"/>
  <c r="I31" i="3"/>
  <c r="H31" i="3"/>
  <c r="G31" i="3"/>
  <c r="D31" i="3"/>
  <c r="C31" i="3"/>
  <c r="B31" i="3"/>
  <c r="M30" i="3"/>
  <c r="L30" i="3"/>
  <c r="K30" i="3"/>
  <c r="J30" i="3"/>
  <c r="I30" i="3"/>
  <c r="H30" i="3"/>
  <c r="G30" i="3"/>
  <c r="F30" i="3"/>
  <c r="F28" i="3" s="1"/>
  <c r="E30" i="3"/>
  <c r="E28" i="3" s="1"/>
  <c r="D30" i="3"/>
  <c r="C30" i="3"/>
  <c r="B30" i="3"/>
  <c r="M28" i="3"/>
  <c r="M34" i="3" s="1"/>
  <c r="L28" i="3"/>
  <c r="L34" i="3" s="1"/>
  <c r="K28" i="3"/>
  <c r="K34" i="3" s="1"/>
  <c r="J28" i="3"/>
  <c r="J34" i="3" s="1"/>
  <c r="I28" i="3"/>
  <c r="I34" i="3" s="1"/>
  <c r="H28" i="3"/>
  <c r="H34" i="3" s="1"/>
  <c r="G28" i="3"/>
  <c r="G34" i="3" s="1"/>
  <c r="D28" i="3"/>
  <c r="D34" i="3" s="1"/>
  <c r="C28" i="3"/>
  <c r="C34" i="3" s="1"/>
  <c r="B28" i="3"/>
  <c r="B34" i="3" s="1"/>
  <c r="M23" i="3"/>
  <c r="L23" i="3"/>
  <c r="K23" i="3"/>
  <c r="J23" i="3"/>
  <c r="I23" i="3"/>
  <c r="H23" i="3"/>
  <c r="G23" i="3"/>
  <c r="F23" i="3"/>
  <c r="E23" i="3"/>
  <c r="E22" i="3" s="1"/>
  <c r="D23" i="3"/>
  <c r="C23" i="3"/>
  <c r="B23" i="3"/>
  <c r="M22" i="3"/>
  <c r="L22" i="3"/>
  <c r="K22" i="3"/>
  <c r="J22" i="3"/>
  <c r="I22" i="3"/>
  <c r="H22" i="3"/>
  <c r="G22" i="3"/>
  <c r="F22" i="3"/>
  <c r="D22" i="3"/>
  <c r="C22" i="3"/>
  <c r="B22" i="3"/>
  <c r="M21" i="3"/>
  <c r="L21" i="3"/>
  <c r="K21" i="3"/>
  <c r="J21" i="3"/>
  <c r="I21" i="3"/>
  <c r="H21" i="3"/>
  <c r="G21" i="3"/>
  <c r="F21" i="3"/>
  <c r="F20" i="3" s="1"/>
  <c r="F24" i="3" s="1"/>
  <c r="E21" i="3"/>
  <c r="D21" i="3"/>
  <c r="C21" i="3"/>
  <c r="B21" i="3"/>
  <c r="M20" i="3"/>
  <c r="M24" i="3" s="1"/>
  <c r="L20" i="3"/>
  <c r="L24" i="3" s="1"/>
  <c r="K20" i="3"/>
  <c r="K24" i="3" s="1"/>
  <c r="J20" i="3"/>
  <c r="J24" i="3" s="1"/>
  <c r="I20" i="3"/>
  <c r="I24" i="3" s="1"/>
  <c r="H20" i="3"/>
  <c r="H24" i="3" s="1"/>
  <c r="G20" i="3"/>
  <c r="G24" i="3" s="1"/>
  <c r="E20" i="3"/>
  <c r="D20" i="3"/>
  <c r="D24" i="3" s="1"/>
  <c r="C20" i="3"/>
  <c r="C24" i="3" s="1"/>
  <c r="B20" i="3"/>
  <c r="B24" i="3" s="1"/>
  <c r="M15" i="3"/>
  <c r="L15" i="3"/>
  <c r="K15" i="3"/>
  <c r="J15" i="3"/>
  <c r="I15" i="3"/>
  <c r="H15" i="3"/>
  <c r="G15" i="3"/>
  <c r="F15" i="3"/>
  <c r="E15" i="3"/>
  <c r="D15" i="3"/>
  <c r="C15" i="3"/>
  <c r="B15" i="3"/>
  <c r="M14" i="3"/>
  <c r="L14" i="3"/>
  <c r="K14" i="3"/>
  <c r="J14" i="3"/>
  <c r="I14" i="3"/>
  <c r="H14" i="3"/>
  <c r="G14" i="3"/>
  <c r="F14" i="3"/>
  <c r="E14" i="3"/>
  <c r="D14" i="3"/>
  <c r="C14" i="3"/>
  <c r="B14" i="3"/>
  <c r="M13" i="3"/>
  <c r="L13" i="3"/>
  <c r="K13" i="3"/>
  <c r="J13" i="3"/>
  <c r="I13" i="3"/>
  <c r="H13" i="3"/>
  <c r="G13" i="3"/>
  <c r="F13" i="3"/>
  <c r="E13" i="3"/>
  <c r="D13" i="3"/>
  <c r="C13" i="3"/>
  <c r="B13" i="3"/>
  <c r="M12" i="3"/>
  <c r="L12" i="3"/>
  <c r="K12" i="3"/>
  <c r="J12" i="3"/>
  <c r="I12" i="3"/>
  <c r="H12" i="3"/>
  <c r="G12" i="3"/>
  <c r="F12" i="3"/>
  <c r="E12" i="3"/>
  <c r="D12" i="3"/>
  <c r="C12" i="3"/>
  <c r="B12" i="3"/>
  <c r="M11" i="3"/>
  <c r="L11" i="3"/>
  <c r="K11" i="3"/>
  <c r="J11" i="3"/>
  <c r="I11" i="3"/>
  <c r="H11" i="3"/>
  <c r="G11" i="3"/>
  <c r="F11" i="3"/>
  <c r="F10" i="3" s="1"/>
  <c r="E11" i="3"/>
  <c r="E10" i="3" s="1"/>
  <c r="D11" i="3"/>
  <c r="C11" i="3"/>
  <c r="B11" i="3"/>
  <c r="M10" i="3"/>
  <c r="L10" i="3"/>
  <c r="K10" i="3"/>
  <c r="J10" i="3"/>
  <c r="I10" i="3"/>
  <c r="H10" i="3"/>
  <c r="G10" i="3"/>
  <c r="D10" i="3"/>
  <c r="C10" i="3"/>
  <c r="B10" i="3"/>
  <c r="M9" i="3"/>
  <c r="L9" i="3"/>
  <c r="K9" i="3"/>
  <c r="J9" i="3"/>
  <c r="I9" i="3"/>
  <c r="H9" i="3"/>
  <c r="G9" i="3"/>
  <c r="F9" i="3"/>
  <c r="E9" i="3"/>
  <c r="D9" i="3"/>
  <c r="C9" i="3"/>
  <c r="B9" i="3"/>
  <c r="M8" i="3"/>
  <c r="L8" i="3"/>
  <c r="K8" i="3"/>
  <c r="J8" i="3"/>
  <c r="I8" i="3"/>
  <c r="I7" i="3" s="1"/>
  <c r="I16" i="3" s="1"/>
  <c r="I47" i="3" s="1"/>
  <c r="I50" i="3" s="1"/>
  <c r="H8" i="3"/>
  <c r="H7" i="3" s="1"/>
  <c r="H16" i="3" s="1"/>
  <c r="H47" i="3" s="1"/>
  <c r="H50" i="3" s="1"/>
  <c r="G8" i="3"/>
  <c r="G7" i="3" s="1"/>
  <c r="G16" i="3" s="1"/>
  <c r="F8" i="3"/>
  <c r="F7" i="3" s="1"/>
  <c r="E8" i="3"/>
  <c r="D8" i="3"/>
  <c r="C8" i="3"/>
  <c r="B8" i="3"/>
  <c r="M7" i="3"/>
  <c r="M16" i="3" s="1"/>
  <c r="L7" i="3"/>
  <c r="L16" i="3" s="1"/>
  <c r="K7" i="3"/>
  <c r="K16" i="3" s="1"/>
  <c r="J7" i="3"/>
  <c r="J16" i="3" s="1"/>
  <c r="J47" i="3" s="1"/>
  <c r="J50" i="3" s="1"/>
  <c r="E7" i="3"/>
  <c r="E16" i="3" s="1"/>
  <c r="D7" i="3"/>
  <c r="D16" i="3" s="1"/>
  <c r="D47" i="3" s="1"/>
  <c r="D50" i="3" s="1"/>
  <c r="C7" i="3"/>
  <c r="C16" i="3" s="1"/>
  <c r="B7" i="3"/>
  <c r="B16" i="3" s="1"/>
  <c r="A19" i="5"/>
  <c r="D11" i="5"/>
  <c r="D10" i="5"/>
  <c r="D9" i="5"/>
  <c r="D13" i="5" s="1"/>
  <c r="B9" i="5"/>
  <c r="E9" i="5" s="1"/>
  <c r="A34" i="4"/>
  <c r="D28" i="4"/>
  <c r="E28" i="4" s="1"/>
  <c r="D27" i="4"/>
  <c r="E27" i="4" s="1"/>
  <c r="D26" i="4"/>
  <c r="D17" i="4" s="1"/>
  <c r="D25" i="4"/>
  <c r="D30" i="4" s="1"/>
  <c r="E30" i="4" s="1"/>
  <c r="D18" i="4"/>
  <c r="D16" i="4"/>
  <c r="D15" i="4"/>
  <c r="D12" i="4"/>
  <c r="E10" i="4" s="1"/>
  <c r="D10" i="4"/>
  <c r="D9" i="4"/>
  <c r="E9" i="4" s="1"/>
  <c r="D8" i="4"/>
  <c r="E8" i="4" s="1"/>
  <c r="A46" i="2"/>
  <c r="H41" i="2"/>
  <c r="H40" i="2"/>
  <c r="H42" i="2" s="1"/>
  <c r="F36" i="2"/>
  <c r="H36" i="2" s="1"/>
  <c r="F35" i="2"/>
  <c r="F37" i="2" s="1"/>
  <c r="H37" i="2" s="1"/>
  <c r="H29" i="2"/>
  <c r="H28" i="2"/>
  <c r="G24" i="2"/>
  <c r="G23" i="2"/>
  <c r="G28" i="2" s="1"/>
  <c r="H19" i="2"/>
  <c r="G16" i="2"/>
  <c r="G15" i="2"/>
  <c r="G13" i="2"/>
  <c r="G11" i="2"/>
  <c r="G10" i="2"/>
  <c r="G19" i="2" s="1"/>
  <c r="F224" i="1"/>
  <c r="H223" i="1"/>
  <c r="F223" i="1"/>
  <c r="F222" i="1"/>
  <c r="F220" i="1" s="1"/>
  <c r="H221" i="1"/>
  <c r="H220" i="1" s="1"/>
  <c r="F221" i="1"/>
  <c r="H219" i="1"/>
  <c r="H218" i="1"/>
  <c r="F218" i="1"/>
  <c r="F213" i="1"/>
  <c r="H212" i="1"/>
  <c r="H209" i="1" s="1"/>
  <c r="F212" i="1"/>
  <c r="F211" i="1"/>
  <c r="F209" i="1" s="1"/>
  <c r="F210" i="1"/>
  <c r="H207" i="1"/>
  <c r="H208" i="1" s="1"/>
  <c r="F207" i="1"/>
  <c r="F208" i="1" s="1"/>
  <c r="F205" i="1"/>
  <c r="F201" i="1"/>
  <c r="F200" i="1"/>
  <c r="H199" i="1"/>
  <c r="F199" i="1"/>
  <c r="F198" i="1"/>
  <c r="F197" i="1"/>
  <c r="F196" i="1"/>
  <c r="F195" i="1"/>
  <c r="F194" i="1"/>
  <c r="H193" i="1"/>
  <c r="H189" i="1" s="1"/>
  <c r="F193" i="1"/>
  <c r="F192" i="1"/>
  <c r="F190" i="1" s="1"/>
  <c r="F191" i="1"/>
  <c r="H190" i="1"/>
  <c r="F187" i="1"/>
  <c r="H186" i="1"/>
  <c r="F186" i="1"/>
  <c r="F185" i="1"/>
  <c r="F184" i="1"/>
  <c r="F183" i="1"/>
  <c r="F182" i="1"/>
  <c r="F181" i="1"/>
  <c r="F180" i="1"/>
  <c r="F179" i="1"/>
  <c r="H178" i="1"/>
  <c r="H175" i="1" s="1"/>
  <c r="F178" i="1"/>
  <c r="F177" i="1"/>
  <c r="F176" i="1"/>
  <c r="A114" i="1"/>
  <c r="A229" i="1" s="1"/>
  <c r="F109" i="1"/>
  <c r="F107" i="1"/>
  <c r="F103" i="1"/>
  <c r="F102" i="1"/>
  <c r="F101" i="1"/>
  <c r="F100" i="1"/>
  <c r="F97" i="1"/>
  <c r="F96" i="1"/>
  <c r="F95" i="1"/>
  <c r="F93" i="1" s="1"/>
  <c r="F59" i="1"/>
  <c r="F57" i="1"/>
  <c r="F54" i="1"/>
  <c r="F52" i="1"/>
  <c r="F50" i="1"/>
  <c r="F41" i="1" s="1"/>
  <c r="F49" i="1"/>
  <c r="F48" i="1"/>
  <c r="F47" i="1"/>
  <c r="F46" i="1"/>
  <c r="F44" i="1"/>
  <c r="F43" i="1"/>
  <c r="F38" i="1"/>
  <c r="F34" i="1"/>
  <c r="F31" i="1"/>
  <c r="F23" i="1"/>
  <c r="F22" i="1"/>
  <c r="F18" i="1"/>
  <c r="F17" i="1"/>
  <c r="F13" i="1"/>
  <c r="F10" i="1"/>
  <c r="F8" i="1"/>
  <c r="F7" i="1" s="1"/>
  <c r="L47" i="3" l="1"/>
  <c r="L50" i="3" s="1"/>
  <c r="E24" i="3"/>
  <c r="E47" i="3" s="1"/>
  <c r="E50" i="3" s="1"/>
  <c r="K47" i="3"/>
  <c r="K50" i="3" s="1"/>
  <c r="E34" i="3"/>
  <c r="M47" i="3"/>
  <c r="M50" i="3" s="1"/>
  <c r="F45" i="3"/>
  <c r="B47" i="3"/>
  <c r="B50" i="3" s="1"/>
  <c r="F34" i="3"/>
  <c r="F16" i="3"/>
  <c r="F47" i="3" s="1"/>
  <c r="F50" i="3" s="1"/>
  <c r="C47" i="3"/>
  <c r="C50" i="3" s="1"/>
  <c r="G47" i="3"/>
  <c r="G50" i="3" s="1"/>
  <c r="B13" i="5"/>
  <c r="E13" i="5" s="1"/>
  <c r="E12" i="4"/>
  <c r="E25" i="4"/>
  <c r="E26" i="4"/>
  <c r="D20" i="4"/>
  <c r="E20" i="4" s="1"/>
  <c r="G29" i="2"/>
  <c r="H35" i="2"/>
  <c r="G196" i="1"/>
  <c r="G185" i="1"/>
  <c r="G198" i="1"/>
  <c r="G176" i="1"/>
  <c r="I190" i="1"/>
  <c r="F33" i="1"/>
  <c r="G184" i="1"/>
  <c r="G220" i="1"/>
  <c r="G223" i="1"/>
  <c r="G186" i="1"/>
  <c r="G199" i="1"/>
  <c r="I199" i="1"/>
  <c r="G178" i="1"/>
  <c r="F189" i="1"/>
  <c r="G183" i="1"/>
  <c r="G209" i="1"/>
  <c r="F175" i="1"/>
  <c r="H174" i="1"/>
  <c r="I178" i="1"/>
  <c r="F90" i="1"/>
  <c r="F174" i="1"/>
  <c r="D22" i="4" l="1"/>
  <c r="E16" i="4"/>
  <c r="E17" i="4"/>
  <c r="E15" i="4"/>
  <c r="E18" i="4"/>
  <c r="F62" i="1"/>
  <c r="G33" i="1"/>
  <c r="I183" i="1"/>
  <c r="I196" i="1"/>
  <c r="I186" i="1"/>
  <c r="I176" i="1"/>
  <c r="I174" i="1"/>
  <c r="I198" i="1"/>
  <c r="I184" i="1"/>
  <c r="I197" i="1"/>
  <c r="I185" i="1"/>
  <c r="I177" i="1"/>
  <c r="H188" i="1"/>
  <c r="I193" i="1"/>
  <c r="I223" i="1"/>
  <c r="I189" i="1"/>
  <c r="I220" i="1"/>
  <c r="F110" i="1"/>
  <c r="G197" i="1"/>
  <c r="F188" i="1"/>
  <c r="G174" i="1"/>
  <c r="G190" i="1"/>
  <c r="G193" i="1"/>
  <c r="G177" i="1"/>
  <c r="G189" i="1"/>
  <c r="I209" i="1"/>
  <c r="G110" i="1" l="1"/>
  <c r="G107" i="1"/>
  <c r="G102" i="1"/>
  <c r="H206" i="1"/>
  <c r="I188" i="1"/>
  <c r="G62" i="1"/>
  <c r="G7" i="1"/>
  <c r="G8" i="1"/>
  <c r="G57" i="1"/>
  <c r="G13" i="1"/>
  <c r="G23" i="1"/>
  <c r="G41" i="1"/>
  <c r="F206" i="1"/>
  <c r="G188" i="1"/>
  <c r="G90" i="1"/>
  <c r="H225" i="1" l="1"/>
  <c r="I225" i="1" s="1"/>
  <c r="I206" i="1"/>
  <c r="F225" i="1"/>
  <c r="G225" i="1" s="1"/>
  <c r="G206" i="1"/>
</calcChain>
</file>

<file path=xl/sharedStrings.xml><?xml version="1.0" encoding="utf-8"?>
<sst xmlns="http://schemas.openxmlformats.org/spreadsheetml/2006/main" count="313" uniqueCount="229">
  <si>
    <t>HOSPITAL DE CARIDADE DE CARAZINHO</t>
  </si>
  <si>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</si>
  <si>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</si>
  <si>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</si>
  <si>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</si>
  <si>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</si>
  <si>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</si>
  <si>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</si>
  <si>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</si>
  <si>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Banco Brasil - PRONOM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</si>
  <si>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</si>
  <si>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</si>
  <si>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</si>
  <si>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</si>
  <si>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</si>
  <si>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</si>
  <si>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</si>
  <si>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</si>
  <si>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</si>
  <si>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</si>
  <si>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</si>
  <si>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</si>
  <si>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</si>
  <si>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</si>
  <si>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</si>
  <si>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</si>
  <si>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</si>
  <si>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</si>
  <si>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</si>
  <si>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</si>
  <si>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</si>
  <si>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</si>
  <si>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</si>
  <si>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Fundo de Reserva de Consórcios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</si>
  <si>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</si>
  <si>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</si>
  <si>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</si>
  <si>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</si>
  <si>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</si>
  <si>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</si>
  <si>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</si>
  <si>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</si>
  <si>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</si>
  <si>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</si>
  <si>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</si>
  <si>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</si>
  <si>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</si>
  <si>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</si>
  <si>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</si>
  <si>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</si>
  <si>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</si>
  <si>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</si>
  <si>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</si>
  <si>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</si>
  <si>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Restaurante HCC</t>
  </si>
  <si>
    <t>Imóveis Bairro São Lucas</t>
  </si>
  <si>
    <t>Imóveis</t>
  </si>
  <si>
    <t>( - ) Depreciação Acumulada de Bens</t>
  </si>
  <si>
    <t>TOTAL DO ATIVO</t>
  </si>
  <si>
    <t>José Armando Lubian</t>
  </si>
  <si>
    <t>Contador CRC-RS 65.661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</si>
  <si>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</si>
  <si>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</si>
  <si>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</si>
  <si>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</si>
  <si>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</si>
  <si>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</si>
  <si>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</si>
  <si>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</si>
  <si>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</si>
  <si>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</si>
  <si>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Adiantamento de Clientes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</si>
  <si>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</si>
  <si>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</si>
  <si>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</si>
  <si>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</si>
  <si>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</si>
  <si>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</si>
  <si>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</si>
  <si>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</si>
  <si>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</si>
  <si>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</si>
  <si>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</si>
  <si>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</si>
  <si>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</si>
  <si>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</si>
  <si>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Assistência Médica - SUS</t>
  </si>
  <si>
    <t>(+) SUS - Ambulatório</t>
  </si>
  <si>
    <t>(+) Convênios</t>
  </si>
  <si>
    <t xml:space="preserve">      Pacientes Ipergs</t>
  </si>
  <si>
    <t xml:space="preserve">      Pacientes Unimed</t>
  </si>
  <si>
    <t xml:space="preserve">      Pacientes Capsem</t>
  </si>
  <si>
    <t xml:space="preserve">      Pacientes Outros Convênios</t>
  </si>
  <si>
    <t>(+) Particulares Internados</t>
  </si>
  <si>
    <t>(-) Glosas</t>
  </si>
  <si>
    <t>(+) Particulares Ambulatoriais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</si>
  <si>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</si>
  <si>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</si>
  <si>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</si>
  <si>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</si>
  <si>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</si>
  <si>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</si>
  <si>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</si>
  <si>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</si>
  <si>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</si>
  <si>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</si>
  <si>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</si>
  <si>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</si>
  <si>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</si>
  <si>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</si>
  <si>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</si>
  <si>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</si>
  <si>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</si>
  <si>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</si>
  <si>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</si>
  <si>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</si>
  <si>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(=) Superávit/Déficit Operacional</t>
  </si>
  <si>
    <t>Despesas Fiscais e Previdenciárias</t>
  </si>
  <si>
    <t>(-) Benefício Fiscal Previdenciário</t>
  </si>
  <si>
    <t>(=) Receitas não operacionais</t>
  </si>
  <si>
    <t xml:space="preserve">   (+) Alugueis</t>
  </si>
  <si>
    <t xml:space="preserve">   (+) Outras Doações </t>
  </si>
  <si>
    <t xml:space="preserve">   (+) Subvenções Eventuais</t>
  </si>
  <si>
    <t xml:space="preserve">   (+) Vendas Lancheria HCC</t>
  </si>
  <si>
    <t xml:space="preserve">   (+) Proc. Conversão Tabela SUS - URV</t>
  </si>
  <si>
    <t xml:space="preserve">   (+) Participação Exames Ressonancia/Tomografias</t>
  </si>
  <si>
    <t xml:space="preserve">   (+) Outras receitas</t>
  </si>
  <si>
    <t>(-) Despesas não operacionais</t>
  </si>
  <si>
    <t xml:space="preserve">   (-) Outras despesas</t>
  </si>
  <si>
    <t xml:space="preserve">(-) Despesas financeiras </t>
  </si>
  <si>
    <t>(+) Receitas de aplicações financeiras</t>
  </si>
  <si>
    <t xml:space="preserve">    (+) Receitas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</si>
  <si>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</si>
  <si>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</si>
  <si>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</si>
  <si>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</si>
  <si>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</si>
  <si>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</si>
  <si>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</si>
  <si>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</si>
  <si>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</si>
  <si>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</si>
  <si>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</si>
  <si>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</si>
  <si>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</si>
  <si>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</si>
  <si>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</si>
  <si>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</si>
  <si>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</si>
  <si>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</si>
  <si>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</si>
  <si>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</si>
  <si>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</si>
  <si>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</si>
  <si>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</si>
  <si>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</si>
  <si>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</si>
  <si>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Fluxo de Caixa Hospital de Caridade de Carazinho</t>
  </si>
  <si>
    <t>I - DAS ATIVIDADES OPERACIONAIS</t>
  </si>
  <si>
    <t>$</t>
  </si>
  <si>
    <t>ENTRADAS</t>
  </si>
  <si>
    <t xml:space="preserve">    Recebimentos de Clientes</t>
  </si>
  <si>
    <t xml:space="preserve">    Outros Créditos</t>
  </si>
  <si>
    <t>SAÍDAS</t>
  </si>
  <si>
    <r>
      <t xml:space="preserve">    </t>
    </r>
    <r>
      <rPr>
        <sz val="9"/>
        <rFont val="Arial"/>
        <family val="2"/>
      </rPr>
      <t>Pagamentos a Fornecedores</t>
    </r>
  </si>
  <si>
    <t xml:space="preserve">    Pagamentos do Pessoal</t>
  </si>
  <si>
    <t xml:space="preserve">    Serviços de terceiros </t>
  </si>
  <si>
    <t xml:space="preserve">    Despesas gerais - pagamentos</t>
  </si>
  <si>
    <t xml:space="preserve">    Glosas </t>
  </si>
  <si>
    <t>SALDO DAS ATIVIDADES OPERACIONAIS</t>
  </si>
  <si>
    <t>II. - DAS ATIVIDADES NÃO OPERACIONAIS</t>
  </si>
  <si>
    <t xml:space="preserve">    Receitas não operacionais</t>
  </si>
  <si>
    <t xml:space="preserve">    Despesas não operacionais</t>
  </si>
  <si>
    <t>SALDO DAS ATIVIDADES NÃO OPERACIONAIS</t>
  </si>
  <si>
    <t>III - DAS ATIVIDADES DE INVESTIMENTOS</t>
  </si>
  <si>
    <t xml:space="preserve">    Valor de Venda de Permanentes</t>
  </si>
  <si>
    <t xml:space="preserve">    Depreciação acumulada</t>
  </si>
  <si>
    <t xml:space="preserve">    Investimentos no Permanente</t>
  </si>
  <si>
    <t xml:space="preserve">    Investimentos no Realiz. L.P.</t>
  </si>
  <si>
    <t>SALDO DAS ATIVIDADES DE INVESTIMENTO</t>
  </si>
  <si>
    <t>IV - DAS ATIVIDADES DE FINANCIAMENTO</t>
  </si>
  <si>
    <t xml:space="preserve">    Novos Empréstimos</t>
  </si>
  <si>
    <t xml:space="preserve">    Integralização de Capital</t>
  </si>
  <si>
    <t xml:space="preserve">    Amortização de Empréstimos</t>
  </si>
  <si>
    <t xml:space="preserve">    Despesas ( - ) Receitas Financeiras</t>
  </si>
  <si>
    <t xml:space="preserve">    Outras atividades de financiamento</t>
  </si>
  <si>
    <t>SALDO DAS ATIVIDADES DE FINANCIAMENTO</t>
  </si>
  <si>
    <t>SALDO DO PERÍODO</t>
  </si>
  <si>
    <t>( + ) Saldo inicial Caixa/Bancos/Aplic. Finan..</t>
  </si>
  <si>
    <t xml:space="preserve"> = Saldo Final Caixa/Bancos/Aplic. Finan..</t>
  </si>
  <si>
    <t>DEMONSTRAÇÃO DO VALOR ADICIONADO</t>
  </si>
  <si>
    <t>1)  ENTRADAS</t>
  </si>
  <si>
    <t>A) Vendas de Produtos e Serviços</t>
  </si>
  <si>
    <t>B) Receitas Financeiras</t>
  </si>
  <si>
    <t>C) Receitas Não Operacionais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</si>
  <si>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</si>
  <si>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</si>
  <si>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</si>
  <si>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</si>
  <si>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</si>
  <si>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H) Despesas Não Operacionais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</si>
  <si>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</si>
  <si>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</si>
  <si>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</si>
  <si>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</si>
  <si>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</si>
  <si>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</si>
  <si>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</si>
  <si>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</si>
  <si>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</si>
  <si>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</si>
  <si>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</si>
  <si>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</si>
  <si>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</si>
  <si>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</si>
  <si>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</si>
  <si>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</si>
  <si>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</si>
  <si>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(+) Ajustes Exercícios Anteriores</t>
  </si>
  <si>
    <t>(+) Superávit do Exercício</t>
  </si>
  <si>
    <t>Carazinho, 31 de dezembro de 2.021</t>
  </si>
  <si>
    <t>Jocelio Nissel Cunha</t>
  </si>
  <si>
    <t>Presidente</t>
  </si>
  <si>
    <t>CPF 429.464.330-72</t>
  </si>
  <si>
    <t xml:space="preserve">   (+) Doações Covid-19</t>
  </si>
  <si>
    <t xml:space="preserve">    (-) Encargos financeiros</t>
  </si>
  <si>
    <t xml:space="preserve">    (-) Encargos tributários</t>
  </si>
  <si>
    <t>Saldo em 31/12/2.020</t>
  </si>
  <si>
    <t>TOTAL EM 31/12/2.021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</si>
</sst>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164" fontId="3" fillId="0" borderId="0" xfId="0" applyNumberFormat="1" applyFont="1"/>
    <xf numFmtId="0" fontId="10" fillId="0" borderId="0" xfId="0" applyFont="1"/>
    <xf numFmtId="165" fontId="10" fillId="0" borderId="0" xfId="0" applyNumberFormat="1" applyFont="1"/>
    <xf numFmtId="17" fontId="10" fillId="0" borderId="0" xfId="0" applyNumberFormat="1" applyFont="1"/>
    <xf numFmtId="4" fontId="10" fillId="0" borderId="1" xfId="0" applyNumberFormat="1" applyFont="1" applyBorder="1"/>
    <xf numFmtId="165" fontId="10" fillId="0" borderId="1" xfId="0" applyNumberFormat="1" applyFont="1" applyBorder="1"/>
    <xf numFmtId="165" fontId="10" fillId="0" borderId="1" xfId="1" applyNumberFormat="1" applyFont="1" applyFill="1" applyBorder="1"/>
    <xf numFmtId="164" fontId="9" fillId="0" borderId="1" xfId="1" applyNumberFormat="1" applyFont="1" applyFill="1" applyBorder="1"/>
    <xf numFmtId="164" fontId="10" fillId="0" borderId="1" xfId="1" applyNumberFormat="1" applyFont="1" applyFill="1" applyBorder="1"/>
    <xf numFmtId="0" fontId="10" fillId="0" borderId="1" xfId="0" applyFont="1" applyBorder="1"/>
    <xf numFmtId="4" fontId="10" fillId="0" borderId="0" xfId="0" applyNumberFormat="1" applyFont="1"/>
    <xf numFmtId="165" fontId="10" fillId="0" borderId="2" xfId="0" applyNumberFormat="1" applyFont="1" applyBorder="1"/>
    <xf numFmtId="165" fontId="10" fillId="0" borderId="0" xfId="1" applyNumberFormat="1" applyFont="1" applyFill="1" applyBorder="1"/>
    <xf numFmtId="164" fontId="9" fillId="0" borderId="0" xfId="1" applyNumberFormat="1" applyFont="1" applyFill="1" applyBorder="1"/>
    <xf numFmtId="164" fontId="10" fillId="0" borderId="0" xfId="1" applyNumberFormat="1" applyFont="1" applyFill="1" applyBorder="1"/>
    <xf numFmtId="4" fontId="9" fillId="0" borderId="0" xfId="0" applyNumberFormat="1" applyFont="1"/>
    <xf numFmtId="17" fontId="9" fillId="0" borderId="0" xfId="1" applyNumberFormat="1" applyFont="1" applyFill="1" applyBorder="1" applyAlignment="1">
      <alignment horizontal="center"/>
    </xf>
    <xf numFmtId="165" fontId="9" fillId="0" borderId="1" xfId="1" applyNumberFormat="1" applyFont="1" applyFill="1" applyBorder="1" applyAlignment="1">
      <alignment horizontal="center"/>
    </xf>
    <xf numFmtId="4" fontId="11" fillId="0" borderId="0" xfId="0" applyNumberFormat="1" applyFont="1"/>
    <xf numFmtId="0" fontId="11" fillId="0" borderId="0" xfId="0" applyFont="1"/>
    <xf numFmtId="0" fontId="9" fillId="0" borderId="1" xfId="0" applyFont="1" applyBorder="1"/>
    <xf numFmtId="164" fontId="10" fillId="0" borderId="0" xfId="0" applyNumberFormat="1" applyFont="1"/>
    <xf numFmtId="165" fontId="9" fillId="0" borderId="0" xfId="0" applyNumberFormat="1" applyFont="1"/>
    <xf numFmtId="164" fontId="9" fillId="0" borderId="0" xfId="1" applyNumberFormat="1" applyFont="1" applyFill="1" applyBorder="1" applyAlignment="1">
      <alignment horizontal="center"/>
    </xf>
    <xf numFmtId="43" fontId="10" fillId="0" borderId="0" xfId="0" applyNumberFormat="1" applyFont="1"/>
    <xf numFmtId="165" fontId="9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164" fontId="6" fillId="0" borderId="7" xfId="1" applyNumberFormat="1" applyFont="1" applyFill="1" applyBorder="1"/>
    <xf numFmtId="164" fontId="6" fillId="0" borderId="8" xfId="1" applyNumberFormat="1" applyFont="1" applyFill="1" applyBorder="1"/>
    <xf numFmtId="0" fontId="3" fillId="0" borderId="9" xfId="0" applyFont="1" applyBorder="1"/>
    <xf numFmtId="164" fontId="3" fillId="0" borderId="10" xfId="1" applyNumberFormat="1" applyFont="1" applyFill="1" applyBorder="1"/>
    <xf numFmtId="164" fontId="3" fillId="0" borderId="11" xfId="1" applyNumberFormat="1" applyFont="1" applyFill="1" applyBorder="1"/>
    <xf numFmtId="0" fontId="6" fillId="0" borderId="9" xfId="0" applyFont="1" applyBorder="1"/>
    <xf numFmtId="164" fontId="6" fillId="0" borderId="10" xfId="1" applyNumberFormat="1" applyFont="1" applyFill="1" applyBorder="1"/>
    <xf numFmtId="164" fontId="6" fillId="0" borderId="11" xfId="1" applyNumberFormat="1" applyFont="1" applyFill="1" applyBorder="1"/>
    <xf numFmtId="0" fontId="3" fillId="0" borderId="12" xfId="0" applyFont="1" applyBorder="1"/>
    <xf numFmtId="164" fontId="3" fillId="0" borderId="13" xfId="1" applyNumberFormat="1" applyFont="1" applyFill="1" applyBorder="1"/>
    <xf numFmtId="164" fontId="3" fillId="0" borderId="14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5" fontId="6" fillId="0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4" fontId="5" fillId="0" borderId="0" xfId="0" applyNumberFormat="1" applyFont="1"/>
    <xf numFmtId="164" fontId="5" fillId="0" borderId="0" xfId="1" applyNumberFormat="1" applyFont="1" applyFill="1" applyBorder="1"/>
    <xf numFmtId="0" fontId="5" fillId="0" borderId="0" xfId="0" applyFont="1"/>
    <xf numFmtId="4" fontId="6" fillId="0" borderId="0" xfId="0" applyNumberFormat="1" applyFont="1" applyAlignment="1">
      <alignment horizontal="center"/>
    </xf>
    <xf numFmtId="4" fontId="6" fillId="0" borderId="0" xfId="0" applyNumberFormat="1" applyFont="1"/>
    <xf numFmtId="43" fontId="6" fillId="0" borderId="0" xfId="0" applyNumberFormat="1" applyFont="1"/>
    <xf numFmtId="43" fontId="4" fillId="0" borderId="0" xfId="0" applyNumberFormat="1" applyFont="1"/>
    <xf numFmtId="4" fontId="3" fillId="0" borderId="0" xfId="0" applyNumberFormat="1" applyFont="1"/>
    <xf numFmtId="4" fontId="7" fillId="0" borderId="0" xfId="0" applyNumberFormat="1" applyFont="1"/>
    <xf numFmtId="4" fontId="12" fillId="0" borderId="0" xfId="0" applyNumberFormat="1" applyFont="1"/>
    <xf numFmtId="164" fontId="12" fillId="0" borderId="0" xfId="1" applyNumberFormat="1" applyFont="1" applyFill="1" applyBorder="1"/>
    <xf numFmtId="0" fontId="12" fillId="0" borderId="0" xfId="0" applyFont="1"/>
    <xf numFmtId="4" fontId="4" fillId="0" borderId="0" xfId="1" applyNumberFormat="1" applyFont="1" applyFill="1" applyBorder="1"/>
    <xf numFmtId="43" fontId="3" fillId="0" borderId="0" xfId="0" applyNumberFormat="1" applyFont="1"/>
    <xf numFmtId="165" fontId="9" fillId="0" borderId="0" xfId="1" applyNumberFormat="1" applyFont="1" applyFill="1" applyBorder="1"/>
    <xf numFmtId="165" fontId="9" fillId="0" borderId="1" xfId="1" applyNumberFormat="1" applyFont="1" applyFill="1" applyBorder="1"/>
    <xf numFmtId="165" fontId="9" fillId="0" borderId="1" xfId="0" applyNumberFormat="1" applyFont="1" applyBorder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21.XLS" TargetMode="External"/><Relationship Id="rId1" Type="http://schemas.openxmlformats.org/officeDocument/2006/relationships/externalLinkPath" Target="/Users/ADMINI~1/AppData/Local/Temp/pid-59620/Balan&#231;o%202.02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21/FLUXO%20DE%20CAIXA%202.021%20com%20iac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21/COTA%20PATRONAL%20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20/COTA%20PATRONAL%20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 subvenções - jocelio"/>
      <sheetName val="subvenções balanço"/>
      <sheetName val="subvenções balanço 21"/>
      <sheetName val="planilha empréstimos"/>
      <sheetName val="Plan1"/>
      <sheetName val="doações"/>
      <sheetName val="Plan2"/>
      <sheetName val="Plan3"/>
      <sheetName val="Plan4"/>
      <sheetName val="balanço e dre "/>
      <sheetName val="demonst de origens e recursos"/>
      <sheetName val="fluxo de caixa"/>
      <sheetName val="valor adicionado"/>
      <sheetName val="demost.de mutações do PL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B5">
            <v>1045068.45</v>
          </cell>
        </row>
        <row r="16">
          <cell r="B16">
            <v>8337947.6600000001</v>
          </cell>
        </row>
        <row r="20">
          <cell r="B20">
            <v>868386.14</v>
          </cell>
        </row>
        <row r="35">
          <cell r="B35">
            <v>8598304.9699999988</v>
          </cell>
        </row>
        <row r="39">
          <cell r="B39">
            <v>515228.43</v>
          </cell>
        </row>
        <row r="41">
          <cell r="B41">
            <v>438230.96</v>
          </cell>
        </row>
        <row r="59">
          <cell r="B59">
            <v>4370888.9799999995</v>
          </cell>
        </row>
        <row r="68">
          <cell r="B68">
            <v>1535330.9199999997</v>
          </cell>
        </row>
        <row r="75">
          <cell r="B75">
            <v>1780</v>
          </cell>
        </row>
      </sheetData>
      <sheetData sheetId="8">
        <row r="55">
          <cell r="N55">
            <v>190534.08</v>
          </cell>
        </row>
        <row r="57">
          <cell r="N57">
            <v>754803.77</v>
          </cell>
        </row>
        <row r="58">
          <cell r="N58">
            <v>42561.98</v>
          </cell>
        </row>
        <row r="59">
          <cell r="N59">
            <v>521625.59999999998</v>
          </cell>
        </row>
        <row r="60">
          <cell r="N60">
            <v>201496.44</v>
          </cell>
        </row>
        <row r="61">
          <cell r="N61">
            <v>167037.15</v>
          </cell>
        </row>
        <row r="62">
          <cell r="N62">
            <v>912197.54999999993</v>
          </cell>
        </row>
        <row r="68">
          <cell r="N68">
            <v>273073.03999999998</v>
          </cell>
        </row>
        <row r="158">
          <cell r="M158">
            <v>13845793</v>
          </cell>
        </row>
        <row r="159">
          <cell r="M159">
            <v>2047254.1</v>
          </cell>
        </row>
        <row r="161">
          <cell r="M161">
            <v>3676244.9</v>
          </cell>
        </row>
        <row r="162">
          <cell r="M162">
            <v>3570040.16</v>
          </cell>
        </row>
        <row r="163">
          <cell r="M163">
            <v>1802869.55</v>
          </cell>
        </row>
        <row r="164">
          <cell r="M164">
            <v>1433988.36</v>
          </cell>
        </row>
        <row r="165">
          <cell r="M165">
            <v>2748147.8</v>
          </cell>
        </row>
        <row r="166">
          <cell r="M166">
            <v>-87302.9</v>
          </cell>
        </row>
        <row r="168">
          <cell r="M168">
            <v>25484005.09</v>
          </cell>
        </row>
        <row r="169">
          <cell r="M169">
            <v>1031213.31</v>
          </cell>
        </row>
        <row r="171">
          <cell r="O171">
            <v>416913.11000000004</v>
          </cell>
        </row>
        <row r="173">
          <cell r="M173">
            <v>19367125.170000002</v>
          </cell>
        </row>
        <row r="174">
          <cell r="M174">
            <v>1622240.93</v>
          </cell>
        </row>
        <row r="176">
          <cell r="M176">
            <v>16007330.98</v>
          </cell>
        </row>
        <row r="177">
          <cell r="M177">
            <v>2520274.2200000002</v>
          </cell>
        </row>
        <row r="178">
          <cell r="M178">
            <v>14097185.119999999</v>
          </cell>
        </row>
        <row r="179">
          <cell r="M179">
            <v>1810801.6</v>
          </cell>
        </row>
        <row r="180">
          <cell r="M180">
            <v>437691.08</v>
          </cell>
        </row>
        <row r="182">
          <cell r="M182">
            <v>1234791.6200000001</v>
          </cell>
        </row>
        <row r="183">
          <cell r="M183">
            <v>9117.9599999999991</v>
          </cell>
        </row>
        <row r="191">
          <cell r="M191">
            <v>48706.3</v>
          </cell>
        </row>
        <row r="192">
          <cell r="M192">
            <v>1090000.51</v>
          </cell>
        </row>
        <row r="193">
          <cell r="M193">
            <v>2443081.13</v>
          </cell>
        </row>
        <row r="201">
          <cell r="M201">
            <v>61084.1</v>
          </cell>
        </row>
      </sheetData>
      <sheetData sheetId="9">
        <row r="7">
          <cell r="F7">
            <v>10054571.65</v>
          </cell>
        </row>
        <row r="34">
          <cell r="F34">
            <v>1607327.4300000002</v>
          </cell>
          <cell r="H34">
            <v>1779672.74</v>
          </cell>
        </row>
        <row r="38">
          <cell r="F38">
            <v>75009.649999999994</v>
          </cell>
          <cell r="H38">
            <v>75009.649999999994</v>
          </cell>
        </row>
        <row r="41">
          <cell r="F41">
            <v>26513974.129999999</v>
          </cell>
          <cell r="H41">
            <v>23438940.48</v>
          </cell>
        </row>
        <row r="57">
          <cell r="F57">
            <v>67150.100000000006</v>
          </cell>
          <cell r="H57">
            <v>67150.100000000006</v>
          </cell>
        </row>
        <row r="61">
          <cell r="F61">
            <v>-6694344</v>
          </cell>
          <cell r="H61">
            <v>-5459552.3799999999</v>
          </cell>
        </row>
        <row r="66">
          <cell r="A66" t="str">
            <v>Carazinho, 31 de dezembro de 2.021</v>
          </cell>
        </row>
        <row r="90">
          <cell r="F90">
            <v>17871160.359999999</v>
          </cell>
        </row>
        <row r="103">
          <cell r="F103">
            <v>10968233.560000001</v>
          </cell>
          <cell r="H103">
            <v>10928825.59</v>
          </cell>
        </row>
        <row r="108">
          <cell r="H108">
            <v>1306718.3600000001</v>
          </cell>
        </row>
        <row r="109">
          <cell r="H109">
            <v>1181626.19</v>
          </cell>
        </row>
        <row r="188">
          <cell r="F188">
            <v>55552253.370000005</v>
          </cell>
        </row>
        <row r="190">
          <cell r="F190">
            <v>20989366.100000001</v>
          </cell>
        </row>
        <row r="193">
          <cell r="F193">
            <v>18527605.199999999</v>
          </cell>
        </row>
        <row r="196">
          <cell r="F196">
            <v>14097185.119999999</v>
          </cell>
        </row>
        <row r="197">
          <cell r="F197">
            <v>1810801.6</v>
          </cell>
        </row>
        <row r="198">
          <cell r="F198">
            <v>437691.08</v>
          </cell>
        </row>
        <row r="199">
          <cell r="F199">
            <v>3292568.3</v>
          </cell>
        </row>
        <row r="205">
          <cell r="F205">
            <v>15965.02</v>
          </cell>
        </row>
        <row r="209">
          <cell r="F209">
            <v>5843162.4199999999</v>
          </cell>
        </row>
        <row r="211">
          <cell r="F211">
            <v>416913.11000000004</v>
          </cell>
        </row>
        <row r="218">
          <cell r="F218">
            <v>0</v>
          </cell>
        </row>
        <row r="220">
          <cell r="F220">
            <v>2238953.88</v>
          </cell>
        </row>
        <row r="224">
          <cell r="F224">
            <v>61084.1</v>
          </cell>
        </row>
        <row r="225">
          <cell r="F225">
            <v>62328.610000013745</v>
          </cell>
        </row>
      </sheetData>
      <sheetData sheetId="10">
        <row r="11">
          <cell r="G11">
            <v>233621.87999999998</v>
          </cell>
        </row>
        <row r="46">
          <cell r="A46" t="str">
            <v>Carazinho, 31 de dezembro de 2.021</v>
          </cell>
        </row>
      </sheetData>
      <sheetData sheetId="11">
        <row r="52">
          <cell r="A52" t="str">
            <v>Carazinho, 31 de dezembro de 2.021</v>
          </cell>
        </row>
      </sheetData>
      <sheetData sheetId="12">
        <row r="34">
          <cell r="A34" t="str">
            <v>Carazinho, 31 de dezembro de 2.021</v>
          </cell>
        </row>
      </sheetData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1"/>
      <sheetName val="resumo dre"/>
      <sheetName val="fluxo de caixa"/>
      <sheetName val="demostração acumulada"/>
      <sheetName val="calculo custos x rec."/>
      <sheetName val="balancete 2021"/>
    </sheetNames>
    <sheetDataSet>
      <sheetData sheetId="0"/>
      <sheetData sheetId="1">
        <row r="1">
          <cell r="A1" t="str">
            <v xml:space="preserve"> </v>
          </cell>
        </row>
      </sheetData>
      <sheetData sheetId="2"/>
      <sheetData sheetId="3"/>
      <sheetData sheetId="4"/>
      <sheetData sheetId="5">
        <row r="7">
          <cell r="B7">
            <v>4765590.51</v>
          </cell>
          <cell r="C7">
            <v>2028031.56</v>
          </cell>
          <cell r="D7">
            <v>1706423.03</v>
          </cell>
          <cell r="E7">
            <v>1679336.56</v>
          </cell>
          <cell r="F7">
            <v>1590735.87</v>
          </cell>
          <cell r="G7">
            <v>1503836.3</v>
          </cell>
          <cell r="H7">
            <v>1427670.8299999998</v>
          </cell>
          <cell r="I7">
            <v>1498641.27</v>
          </cell>
          <cell r="J7">
            <v>1630807.2849999999</v>
          </cell>
          <cell r="K7">
            <v>1341463.21</v>
          </cell>
          <cell r="L7">
            <v>1598703.1</v>
          </cell>
          <cell r="M7">
            <v>1438383.19</v>
          </cell>
        </row>
        <row r="11">
          <cell r="B11">
            <v>4509688.25</v>
          </cell>
          <cell r="C11">
            <v>7537764.8300000001</v>
          </cell>
          <cell r="D11">
            <v>8246410.1299999999</v>
          </cell>
          <cell r="E11">
            <v>8144554.0800000001</v>
          </cell>
          <cell r="F11">
            <v>7890155.1099999994</v>
          </cell>
          <cell r="G11">
            <v>7549104.3700000001</v>
          </cell>
          <cell r="H11">
            <v>6818822.8200000003</v>
          </cell>
          <cell r="I11">
            <v>7402913.75</v>
          </cell>
          <cell r="J11">
            <v>6583552.6300000008</v>
          </cell>
          <cell r="K11">
            <v>7288803.3599999994</v>
          </cell>
          <cell r="L11">
            <v>7723075.1400000006</v>
          </cell>
          <cell r="M11">
            <v>7792411.6799999997</v>
          </cell>
          <cell r="N11">
            <v>5706419.0199999996</v>
          </cell>
        </row>
        <row r="18">
          <cell r="B18">
            <v>1141017.3600000001</v>
          </cell>
          <cell r="C18">
            <v>1141017.3599999999</v>
          </cell>
          <cell r="D18">
            <v>1141017.3599999999</v>
          </cell>
          <cell r="E18">
            <v>1147564.23</v>
          </cell>
          <cell r="F18">
            <v>1167647.69</v>
          </cell>
          <cell r="G18">
            <v>1181131.96</v>
          </cell>
          <cell r="H18">
            <v>1191804.71</v>
          </cell>
          <cell r="I18">
            <v>1243859.55</v>
          </cell>
          <cell r="J18">
            <v>1441512.47</v>
          </cell>
          <cell r="K18">
            <v>1441961.97</v>
          </cell>
          <cell r="L18">
            <v>1441961.97</v>
          </cell>
          <cell r="M18">
            <v>1441961.97</v>
          </cell>
          <cell r="N18">
            <v>1477831.41</v>
          </cell>
        </row>
        <row r="21">
          <cell r="B21">
            <v>15904.95</v>
          </cell>
          <cell r="C21">
            <v>386166.49</v>
          </cell>
          <cell r="D21">
            <v>389129.01999999996</v>
          </cell>
          <cell r="E21">
            <v>400424.02</v>
          </cell>
          <cell r="F21">
            <v>189715.38</v>
          </cell>
          <cell r="G21">
            <v>151469.32</v>
          </cell>
          <cell r="H21">
            <v>145047.06</v>
          </cell>
          <cell r="I21">
            <v>131352.81</v>
          </cell>
          <cell r="J21">
            <v>177793.56999999998</v>
          </cell>
          <cell r="K21">
            <v>208743.08000000002</v>
          </cell>
          <cell r="L21">
            <v>1345006.8599999999</v>
          </cell>
          <cell r="M21">
            <v>1130265.52</v>
          </cell>
          <cell r="N21">
            <v>508035.46</v>
          </cell>
        </row>
        <row r="25">
          <cell r="B25">
            <v>22381.38</v>
          </cell>
          <cell r="C25">
            <v>23075.84</v>
          </cell>
          <cell r="D25">
            <v>23770.3</v>
          </cell>
          <cell r="E25">
            <v>24464.76</v>
          </cell>
          <cell r="F25">
            <v>25055.919999999998</v>
          </cell>
          <cell r="G25">
            <v>25769.279999999999</v>
          </cell>
          <cell r="H25">
            <v>26482.639999999999</v>
          </cell>
          <cell r="I25">
            <v>27003.72</v>
          </cell>
          <cell r="J25">
            <v>27607.48</v>
          </cell>
          <cell r="K25">
            <v>28320.84</v>
          </cell>
          <cell r="L25">
            <v>11092.72</v>
          </cell>
          <cell r="M25">
            <v>11821.52</v>
          </cell>
          <cell r="N25">
            <v>12550.32</v>
          </cell>
        </row>
        <row r="26">
          <cell r="B26">
            <v>131029.56</v>
          </cell>
          <cell r="C26">
            <v>120110.43</v>
          </cell>
          <cell r="D26">
            <v>109191.3</v>
          </cell>
          <cell r="E26">
            <v>98272.17</v>
          </cell>
          <cell r="F26">
            <v>87353.04</v>
          </cell>
          <cell r="G26">
            <v>76433.91</v>
          </cell>
          <cell r="H26">
            <v>65514.78</v>
          </cell>
          <cell r="I26">
            <v>54595.65</v>
          </cell>
          <cell r="J26">
            <v>43676.52</v>
          </cell>
          <cell r="K26">
            <v>32757.39</v>
          </cell>
          <cell r="L26">
            <v>21838.26</v>
          </cell>
          <cell r="M26">
            <v>10919.13</v>
          </cell>
          <cell r="N26">
            <v>131029.56</v>
          </cell>
        </row>
        <row r="28">
          <cell r="B28">
            <v>1779672.74</v>
          </cell>
          <cell r="C28">
            <v>1779672.74</v>
          </cell>
          <cell r="D28">
            <v>1779672.74</v>
          </cell>
          <cell r="E28">
            <v>1779672.74</v>
          </cell>
          <cell r="F28">
            <v>1779672.74</v>
          </cell>
          <cell r="G28">
            <v>1779672.74</v>
          </cell>
          <cell r="H28">
            <v>1779672.74</v>
          </cell>
          <cell r="I28">
            <v>1779672.74</v>
          </cell>
          <cell r="J28">
            <v>1779672.74</v>
          </cell>
          <cell r="K28">
            <v>1779672.74</v>
          </cell>
          <cell r="L28">
            <v>1779672.74</v>
          </cell>
          <cell r="M28">
            <v>1779672.74</v>
          </cell>
          <cell r="N28">
            <v>1607327.4300000002</v>
          </cell>
        </row>
        <row r="34">
          <cell r="B34">
            <v>75009.649999999994</v>
          </cell>
          <cell r="C34">
            <v>75009.649999999994</v>
          </cell>
          <cell r="D34">
            <v>75009.649999999994</v>
          </cell>
          <cell r="E34">
            <v>75009.649999999994</v>
          </cell>
          <cell r="F34">
            <v>75009.649999999994</v>
          </cell>
          <cell r="G34">
            <v>75009.649999999994</v>
          </cell>
          <cell r="H34">
            <v>75009.649999999994</v>
          </cell>
          <cell r="I34">
            <v>75009.649999999994</v>
          </cell>
          <cell r="J34">
            <v>75009.649999999994</v>
          </cell>
          <cell r="K34">
            <v>75009.649999999994</v>
          </cell>
          <cell r="L34">
            <v>75009.649999999994</v>
          </cell>
          <cell r="M34">
            <v>75009.61</v>
          </cell>
          <cell r="N34">
            <v>75009.61</v>
          </cell>
        </row>
        <row r="35">
          <cell r="B35">
            <v>23506090.579999998</v>
          </cell>
          <cell r="C35">
            <v>23672600.739999998</v>
          </cell>
          <cell r="D35">
            <v>23971580.16</v>
          </cell>
          <cell r="E35">
            <v>24087771.210000001</v>
          </cell>
          <cell r="F35">
            <v>24690472.629999999</v>
          </cell>
          <cell r="G35">
            <v>25050367</v>
          </cell>
          <cell r="H35">
            <v>25127558.609999999</v>
          </cell>
          <cell r="I35">
            <v>25695625.059999999</v>
          </cell>
          <cell r="J35">
            <v>25784536.690000001</v>
          </cell>
          <cell r="K35">
            <v>26080823.93</v>
          </cell>
          <cell r="L35">
            <v>26300813.760000002</v>
          </cell>
          <cell r="M35">
            <v>26429737.91</v>
          </cell>
          <cell r="N35">
            <v>26581124.23</v>
          </cell>
        </row>
        <row r="36">
          <cell r="B36">
            <v>5459552.3799999999</v>
          </cell>
          <cell r="C36">
            <v>5542719.3700000001</v>
          </cell>
          <cell r="D36">
            <v>5625886.3600000003</v>
          </cell>
          <cell r="E36">
            <v>5709053.3499999996</v>
          </cell>
          <cell r="F36">
            <v>5792220.3399999999</v>
          </cell>
          <cell r="G36">
            <v>5875387.3300000001</v>
          </cell>
          <cell r="H36">
            <v>5958554.3200000003</v>
          </cell>
          <cell r="I36">
            <v>6041721.3099999996</v>
          </cell>
          <cell r="J36">
            <v>6124888.2999999998</v>
          </cell>
          <cell r="K36">
            <v>6208055.29</v>
          </cell>
          <cell r="L36">
            <v>6291222.2800000003</v>
          </cell>
          <cell r="M36">
            <v>6374389.2699999996</v>
          </cell>
          <cell r="N36">
            <v>6694344</v>
          </cell>
        </row>
        <row r="50">
          <cell r="B50">
            <v>3826798.5</v>
          </cell>
          <cell r="C50">
            <v>4192637.98</v>
          </cell>
          <cell r="D50">
            <v>4455635.3600000003</v>
          </cell>
          <cell r="E50">
            <v>4207940.91</v>
          </cell>
          <cell r="F50">
            <v>3892850.47</v>
          </cell>
          <cell r="G50">
            <v>3509264.41</v>
          </cell>
          <cell r="H50">
            <v>3293044.47</v>
          </cell>
          <cell r="I50">
            <v>4173160.92</v>
          </cell>
          <cell r="J50">
            <v>3701374.33</v>
          </cell>
          <cell r="K50">
            <v>3155894.84</v>
          </cell>
          <cell r="L50">
            <v>3648194.97</v>
          </cell>
          <cell r="M50">
            <v>3702749.16</v>
          </cell>
          <cell r="N50">
            <v>2556003.41</v>
          </cell>
        </row>
        <row r="51">
          <cell r="B51">
            <v>5164172.97</v>
          </cell>
          <cell r="C51">
            <v>5144800.1900000004</v>
          </cell>
          <cell r="D51">
            <v>5211817.82</v>
          </cell>
          <cell r="E51">
            <v>5495733.8899999997</v>
          </cell>
          <cell r="F51">
            <v>5703170.6399999997</v>
          </cell>
          <cell r="G51">
            <v>5958219.3300000001</v>
          </cell>
          <cell r="H51">
            <v>6010831.29</v>
          </cell>
          <cell r="I51">
            <v>6207673.9000000004</v>
          </cell>
          <cell r="J51">
            <v>5472114.1399999997</v>
          </cell>
          <cell r="K51">
            <v>5599516.2400000002</v>
          </cell>
          <cell r="L51">
            <v>5065992.03</v>
          </cell>
          <cell r="M51">
            <v>4831804.0999999996</v>
          </cell>
          <cell r="N51">
            <v>4841306.6399999997</v>
          </cell>
        </row>
        <row r="52">
          <cell r="B52">
            <v>1630283.48</v>
          </cell>
          <cell r="C52">
            <v>1632783.9</v>
          </cell>
          <cell r="D52">
            <v>1674242.36</v>
          </cell>
          <cell r="E52">
            <v>1723704.2</v>
          </cell>
          <cell r="F52">
            <v>1764865.98</v>
          </cell>
          <cell r="G52">
            <v>1792326.03</v>
          </cell>
          <cell r="H52">
            <v>1905175.07</v>
          </cell>
          <cell r="I52">
            <v>1858723.38</v>
          </cell>
          <cell r="J52">
            <v>1881239.86</v>
          </cell>
          <cell r="K52">
            <v>1869211.11</v>
          </cell>
          <cell r="L52">
            <v>1895412.97</v>
          </cell>
          <cell r="M52">
            <v>1950355.29</v>
          </cell>
          <cell r="N52">
            <v>1961624.87</v>
          </cell>
        </row>
        <row r="53">
          <cell r="B53">
            <v>4782729.58</v>
          </cell>
          <cell r="C53">
            <v>4960192.58</v>
          </cell>
          <cell r="D53">
            <v>5223192.7700000005</v>
          </cell>
          <cell r="E53">
            <v>5541623.9999999991</v>
          </cell>
          <cell r="F53">
            <v>5721649.4799999995</v>
          </cell>
          <cell r="G53">
            <v>5970983.8000000007</v>
          </cell>
          <cell r="H53">
            <v>6321064.8100000015</v>
          </cell>
          <cell r="I53">
            <v>6576905.2999999998</v>
          </cell>
          <cell r="J53">
            <v>6765827.3900000006</v>
          </cell>
          <cell r="K53">
            <v>6966623.290000001</v>
          </cell>
          <cell r="L53">
            <v>7209098.3000000007</v>
          </cell>
          <cell r="M53">
            <v>6610350.2000000002</v>
          </cell>
          <cell r="N53">
            <v>7326954.8500000006</v>
          </cell>
        </row>
        <row r="54">
          <cell r="N54">
            <v>2073249.63</v>
          </cell>
        </row>
        <row r="56">
          <cell r="N56">
            <v>3375646.2</v>
          </cell>
        </row>
        <row r="62">
          <cell r="B62">
            <v>891488.21</v>
          </cell>
          <cell r="C62">
            <v>992705.13</v>
          </cell>
          <cell r="D62">
            <v>1219794.72</v>
          </cell>
          <cell r="E62">
            <v>896968.3</v>
          </cell>
          <cell r="F62">
            <v>915221.6</v>
          </cell>
          <cell r="G62">
            <v>1039683.79</v>
          </cell>
          <cell r="H62">
            <v>1175370.1100000001</v>
          </cell>
          <cell r="I62">
            <v>1146400.8999999999</v>
          </cell>
          <cell r="J62">
            <v>1141127.98</v>
          </cell>
          <cell r="K62">
            <v>1046881.43</v>
          </cell>
          <cell r="L62">
            <v>1257367.6099999999</v>
          </cell>
          <cell r="M62">
            <v>801553.20000000007</v>
          </cell>
          <cell r="N62">
            <v>912197.54999999993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B64">
            <v>356501.4</v>
          </cell>
          <cell r="C64">
            <v>397390.09</v>
          </cell>
          <cell r="D64">
            <v>435685.18</v>
          </cell>
          <cell r="E64">
            <v>522150.16</v>
          </cell>
          <cell r="F64">
            <v>586617.87</v>
          </cell>
          <cell r="G64">
            <v>576156.31999999995</v>
          </cell>
          <cell r="H64">
            <v>228876.35</v>
          </cell>
          <cell r="I64">
            <v>216419.07</v>
          </cell>
          <cell r="J64">
            <v>262877.63</v>
          </cell>
          <cell r="K64">
            <v>244667.89</v>
          </cell>
          <cell r="L64">
            <v>258225.63</v>
          </cell>
          <cell r="M64">
            <v>284389.67</v>
          </cell>
          <cell r="N64">
            <v>273073.03999999998</v>
          </cell>
        </row>
        <row r="71">
          <cell r="B71">
            <v>2359234.61</v>
          </cell>
          <cell r="C71">
            <v>2359234.61</v>
          </cell>
          <cell r="D71">
            <v>2359234.61</v>
          </cell>
          <cell r="E71">
            <v>2359234.61</v>
          </cell>
          <cell r="F71">
            <v>2359234.61</v>
          </cell>
          <cell r="G71">
            <v>2359234.61</v>
          </cell>
          <cell r="H71">
            <v>2359234.61</v>
          </cell>
          <cell r="I71">
            <v>2359234.61</v>
          </cell>
          <cell r="J71">
            <v>2359234.61</v>
          </cell>
          <cell r="K71">
            <v>2975901.27</v>
          </cell>
          <cell r="L71">
            <v>2975901.27</v>
          </cell>
          <cell r="M71">
            <v>2975901.27</v>
          </cell>
          <cell r="N71">
            <v>2975901.27</v>
          </cell>
        </row>
        <row r="72">
          <cell r="B72">
            <v>4355957.5999999996</v>
          </cell>
          <cell r="C72">
            <v>4355957.5999999996</v>
          </cell>
          <cell r="D72">
            <v>4355957.5999999996</v>
          </cell>
          <cell r="E72">
            <v>4355957.5999999996</v>
          </cell>
          <cell r="F72">
            <v>4355957.5999999996</v>
          </cell>
          <cell r="G72">
            <v>4355957.5999999996</v>
          </cell>
          <cell r="H72">
            <v>4355957.5999999996</v>
          </cell>
          <cell r="I72">
            <v>4355957.5999999996</v>
          </cell>
          <cell r="J72">
            <v>4355957.5999999996</v>
          </cell>
          <cell r="K72">
            <v>4355957.5999999996</v>
          </cell>
          <cell r="L72">
            <v>4355957.5999999996</v>
          </cell>
          <cell r="M72">
            <v>4355957.5999999996</v>
          </cell>
          <cell r="N72">
            <v>4057680.33</v>
          </cell>
        </row>
        <row r="81">
          <cell r="B81">
            <v>655200</v>
          </cell>
          <cell r="C81">
            <v>655200</v>
          </cell>
          <cell r="D81">
            <v>655200</v>
          </cell>
          <cell r="E81">
            <v>655200</v>
          </cell>
          <cell r="F81">
            <v>655200</v>
          </cell>
          <cell r="G81">
            <v>655200</v>
          </cell>
          <cell r="H81">
            <v>655200</v>
          </cell>
          <cell r="I81">
            <v>655200</v>
          </cell>
          <cell r="J81">
            <v>655200</v>
          </cell>
          <cell r="K81">
            <v>655200</v>
          </cell>
          <cell r="L81">
            <v>655200</v>
          </cell>
          <cell r="M81">
            <v>655200</v>
          </cell>
          <cell r="N81">
            <v>623458.88</v>
          </cell>
        </row>
        <row r="100">
          <cell r="C100">
            <v>4428013.95</v>
          </cell>
          <cell r="D100">
            <v>4058380.7599999988</v>
          </cell>
          <cell r="E100">
            <v>4708735.6100000013</v>
          </cell>
          <cell r="F100">
            <v>4130728</v>
          </cell>
          <cell r="G100">
            <v>4592907.7199999988</v>
          </cell>
          <cell r="H100">
            <v>4596395.07</v>
          </cell>
          <cell r="I100">
            <v>4769200.59</v>
          </cell>
          <cell r="J100">
            <v>4726794.8300000019</v>
          </cell>
          <cell r="K100">
            <v>4923190.5799999982</v>
          </cell>
          <cell r="L100">
            <v>5435999.7300000042</v>
          </cell>
          <cell r="M100">
            <v>4478573.4199999943</v>
          </cell>
          <cell r="N100">
            <v>4790636.0100000054</v>
          </cell>
        </row>
        <row r="109">
          <cell r="C109">
            <v>-2282.96</v>
          </cell>
          <cell r="D109">
            <v>-1798.87</v>
          </cell>
          <cell r="E109">
            <v>-10969.76</v>
          </cell>
          <cell r="F109">
            <v>-44639.619999999995</v>
          </cell>
          <cell r="G109">
            <v>-21666.860000000008</v>
          </cell>
          <cell r="H109">
            <v>-2567.9199999999983</v>
          </cell>
          <cell r="I109">
            <v>-1704.6999999999971</v>
          </cell>
          <cell r="J109">
            <v>-1001.6499999999942</v>
          </cell>
          <cell r="K109">
            <v>14</v>
          </cell>
          <cell r="L109">
            <v>-744.55999999999767</v>
          </cell>
          <cell r="M109">
            <v>-51</v>
          </cell>
          <cell r="N109">
            <v>111</v>
          </cell>
        </row>
        <row r="115">
          <cell r="C115">
            <v>1630186.7</v>
          </cell>
          <cell r="D115">
            <v>1629417.7100000002</v>
          </cell>
          <cell r="E115">
            <v>1676668.63</v>
          </cell>
          <cell r="F115">
            <v>1713722.3100000005</v>
          </cell>
          <cell r="G115">
            <v>1730230.4499999993</v>
          </cell>
          <cell r="H115">
            <v>1920132.8600000003</v>
          </cell>
          <cell r="I115">
            <v>1769033.9600000009</v>
          </cell>
          <cell r="J115">
            <v>1694181</v>
          </cell>
          <cell r="K115">
            <v>1680255.6599999983</v>
          </cell>
          <cell r="L115">
            <v>1735122.6200000029</v>
          </cell>
          <cell r="M115">
            <v>1730636.4800000004</v>
          </cell>
          <cell r="N115">
            <v>2079777.7199999988</v>
          </cell>
        </row>
        <row r="118">
          <cell r="C118">
            <v>2066583.7000000002</v>
          </cell>
          <cell r="D118">
            <v>834877.19999999972</v>
          </cell>
          <cell r="E118">
            <v>1582288.0900000003</v>
          </cell>
          <cell r="F118">
            <v>1566444.25</v>
          </cell>
          <cell r="G118">
            <v>1565347.7399999993</v>
          </cell>
          <cell r="H118">
            <v>1622244.63</v>
          </cell>
          <cell r="I118">
            <v>1519485.75</v>
          </cell>
          <cell r="J118">
            <v>1580591.3200000003</v>
          </cell>
          <cell r="K118">
            <v>1542530.0300000012</v>
          </cell>
          <cell r="L118">
            <v>1501471.4099999983</v>
          </cell>
          <cell r="M118">
            <v>1578005.0900000017</v>
          </cell>
          <cell r="N118">
            <v>1567735.9899999984</v>
          </cell>
        </row>
        <row r="121">
          <cell r="C121">
            <v>1059971.6200000001</v>
          </cell>
          <cell r="D121">
            <v>1107161.9099999997</v>
          </cell>
          <cell r="E121">
            <v>1553196.6</v>
          </cell>
          <cell r="F121">
            <v>1375693.79</v>
          </cell>
          <cell r="G121">
            <v>1388813.13</v>
          </cell>
          <cell r="H121">
            <v>1686034.8600000003</v>
          </cell>
          <cell r="I121">
            <v>1288415.2599999998</v>
          </cell>
          <cell r="J121">
            <v>930943.3900000006</v>
          </cell>
          <cell r="K121">
            <v>992481.88999999873</v>
          </cell>
          <cell r="L121">
            <v>860156.77000000142</v>
          </cell>
          <cell r="M121">
            <v>862608.66999999993</v>
          </cell>
          <cell r="N121">
            <v>991707.22999999858</v>
          </cell>
        </row>
        <row r="122">
          <cell r="C122">
            <v>106651.09</v>
          </cell>
          <cell r="D122">
            <v>120920.35</v>
          </cell>
          <cell r="E122">
            <v>147293.09999999998</v>
          </cell>
          <cell r="F122">
            <v>129830.62</v>
          </cell>
          <cell r="G122">
            <v>134797.32</v>
          </cell>
          <cell r="H122">
            <v>153309.91000000003</v>
          </cell>
          <cell r="I122">
            <v>143930.26</v>
          </cell>
          <cell r="J122">
            <v>186862.28999999992</v>
          </cell>
          <cell r="K122">
            <v>159122.51</v>
          </cell>
          <cell r="L122">
            <v>152704.42999999993</v>
          </cell>
          <cell r="M122">
            <v>178760.6100000001</v>
          </cell>
          <cell r="N122">
            <v>196619.1100000001</v>
          </cell>
        </row>
        <row r="123">
          <cell r="C123">
            <v>39043.379999999997</v>
          </cell>
          <cell r="D123">
            <v>27108.549999999996</v>
          </cell>
          <cell r="E123">
            <v>51604.380000000005</v>
          </cell>
          <cell r="F123">
            <v>23022.040000000008</v>
          </cell>
          <cell r="G123">
            <v>23468.820000000007</v>
          </cell>
          <cell r="H123">
            <v>31943.239999999991</v>
          </cell>
          <cell r="I123">
            <v>46174.070000000007</v>
          </cell>
          <cell r="J123">
            <v>38931.639999999985</v>
          </cell>
          <cell r="K123">
            <v>29361.780000000028</v>
          </cell>
          <cell r="L123">
            <v>42231.149999999907</v>
          </cell>
          <cell r="M123">
            <v>39183.70000000007</v>
          </cell>
          <cell r="N123">
            <v>45618.330000000016</v>
          </cell>
        </row>
        <row r="124">
          <cell r="C124">
            <v>235904.85</v>
          </cell>
          <cell r="D124">
            <v>211429.08</v>
          </cell>
          <cell r="E124">
            <v>254830.57</v>
          </cell>
          <cell r="F124">
            <v>231910.56999999995</v>
          </cell>
          <cell r="G124">
            <v>240514.11</v>
          </cell>
          <cell r="H124">
            <v>267224.75</v>
          </cell>
          <cell r="I124">
            <v>276381.93999999994</v>
          </cell>
          <cell r="J124">
            <v>230973.69000000041</v>
          </cell>
          <cell r="K124">
            <v>260047.20999999973</v>
          </cell>
          <cell r="L124">
            <v>259112.71999999974</v>
          </cell>
          <cell r="M124">
            <v>149128.54000000004</v>
          </cell>
          <cell r="N124">
            <v>675110.27</v>
          </cell>
        </row>
        <row r="133">
          <cell r="C133">
            <v>314399.52</v>
          </cell>
          <cell r="D133">
            <v>299852.39999999991</v>
          </cell>
          <cell r="E133">
            <v>475751.34000000008</v>
          </cell>
          <cell r="F133">
            <v>945749.45</v>
          </cell>
          <cell r="G133">
            <v>255539.08999999985</v>
          </cell>
          <cell r="H133">
            <v>358778.62000000011</v>
          </cell>
          <cell r="I133">
            <v>474152.68000000017</v>
          </cell>
          <cell r="J133">
            <v>587875.98999999976</v>
          </cell>
          <cell r="K133">
            <v>275351.65000000037</v>
          </cell>
          <cell r="L133">
            <v>890000.41999999993</v>
          </cell>
          <cell r="M133">
            <v>359064.1799999997</v>
          </cell>
          <cell r="N133">
            <v>606647.08000000007</v>
          </cell>
        </row>
        <row r="138"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</row>
        <row r="141">
          <cell r="C141">
            <v>142909.45000000001</v>
          </cell>
          <cell r="D141">
            <v>128901.85999999999</v>
          </cell>
          <cell r="E141">
            <v>165877.25</v>
          </cell>
          <cell r="F141">
            <v>208636.11000000004</v>
          </cell>
          <cell r="G141">
            <v>197541.41999999993</v>
          </cell>
          <cell r="H141">
            <v>179306.21000000008</v>
          </cell>
          <cell r="I141">
            <v>277764.20999999973</v>
          </cell>
          <cell r="J141">
            <v>147455.06000000029</v>
          </cell>
          <cell r="K141">
            <v>168123.26</v>
          </cell>
          <cell r="L141">
            <v>299337.11999999988</v>
          </cell>
          <cell r="M141">
            <v>206586.44000000018</v>
          </cell>
          <cell r="N141">
            <v>116515.48999999976</v>
          </cell>
        </row>
        <row r="143">
          <cell r="C143">
            <v>2675.2</v>
          </cell>
          <cell r="D143">
            <v>2918.1100000000006</v>
          </cell>
          <cell r="E143">
            <v>2186.9199999999992</v>
          </cell>
          <cell r="F143">
            <v>2598.8999999999996</v>
          </cell>
          <cell r="G143">
            <v>5484.9100000000017</v>
          </cell>
          <cell r="H143">
            <v>1484.5900000000001</v>
          </cell>
          <cell r="I143">
            <v>2538.8799999999974</v>
          </cell>
          <cell r="J143">
            <v>3319.2100000000028</v>
          </cell>
          <cell r="K143">
            <v>8686.11</v>
          </cell>
          <cell r="L143">
            <v>9834.9700000000012</v>
          </cell>
          <cell r="M143">
            <v>7253.0799999999945</v>
          </cell>
          <cell r="N143">
            <v>12103.220000000001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4"/>
      <sheetName val="Plan1"/>
      <sheetName val="Plan2"/>
      <sheetName val="Plan3"/>
    </sheetNames>
    <sheetDataSet>
      <sheetData sheetId="0"/>
      <sheetData sheetId="1"/>
      <sheetData sheetId="2">
        <row r="21">
          <cell r="F21">
            <v>5034867.0989399999</v>
          </cell>
        </row>
      </sheetData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4"/>
      <sheetName val="Plan1"/>
      <sheetName val="Plan2"/>
      <sheetName val="Plan3"/>
    </sheetNames>
    <sheetDataSet>
      <sheetData sheetId="0"/>
      <sheetData sheetId="1"/>
      <sheetData sheetId="2">
        <row r="21">
          <cell r="F21">
            <v>4414989.5766599998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O234"/>
  <sheetViews>
    <sheetView tabSelected="1" workbookViewId="0">
      <selection sqref="A1:XFD234"/>
    </sheetView>
  </sheetViews>
  <sheetFormatPr defaultRowHeight="15" x14ac:dyDescent="0.25"/>
  <cols>
    <col min="6" max="6" width="15.7109375" bestFit="1" customWidth="1"/>
    <col min="7" max="7" width="7.7109375" bestFit="1" customWidth="1"/>
    <col min="8" max="8" width="15.7109375" bestFit="1" customWidth="1"/>
    <col min="9" max="9" width="7.7109375" bestFit="1" customWidth="1"/>
  </cols>
  <sheetData>
    <row r="1" spans="1:12" s="12" customFormat="1" ht="18" x14ac:dyDescent="0.25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19"/>
      <c r="K1" s="13"/>
    </row>
    <row r="2" spans="1:12" s="12" customFormat="1" ht="18.75" customHeight="1" x14ac:dyDescent="0.2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19"/>
      <c r="K2" s="13"/>
    </row>
    <row r="3" spans="1:12" s="12" customFormat="1" ht="12" customHeight="1" x14ac:dyDescent="0.2">
      <c r="A3" s="2"/>
      <c r="B3" s="2"/>
      <c r="C3" s="2"/>
      <c r="D3" s="2"/>
      <c r="E3" s="2"/>
      <c r="F3" s="2"/>
      <c r="G3" s="2"/>
      <c r="H3" s="2"/>
      <c r="I3" s="2"/>
      <c r="J3" s="19"/>
      <c r="K3" s="13"/>
    </row>
    <row r="4" spans="1:12" s="85" customFormat="1" ht="15.75" x14ac:dyDescent="0.25">
      <c r="A4" s="75" t="s">
        <v>2</v>
      </c>
      <c r="B4" s="75"/>
      <c r="C4" s="75"/>
      <c r="D4" s="75"/>
      <c r="E4" s="75"/>
      <c r="F4" s="75"/>
      <c r="G4" s="75"/>
      <c r="H4" s="75"/>
      <c r="I4" s="75"/>
      <c r="J4" s="83"/>
      <c r="K4" s="84"/>
    </row>
    <row r="5" spans="1:12" s="85" customFormat="1" ht="10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83"/>
      <c r="K5" s="84"/>
    </row>
    <row r="6" spans="1:12" s="4" customFormat="1" x14ac:dyDescent="0.25">
      <c r="A6" s="80" t="s">
        <v>3</v>
      </c>
      <c r="B6" s="80"/>
      <c r="C6" s="80"/>
      <c r="D6" s="80"/>
      <c r="E6" s="80"/>
      <c r="F6" s="5">
        <v>44561</v>
      </c>
      <c r="G6" s="6" t="s">
        <v>4</v>
      </c>
      <c r="H6" s="5">
        <v>44196</v>
      </c>
      <c r="I6" s="6" t="s">
        <v>4</v>
      </c>
      <c r="J6" s="86"/>
      <c r="K6" s="31"/>
    </row>
    <row r="7" spans="1:12" s="7" customFormat="1" ht="19.5" x14ac:dyDescent="0.55000000000000004">
      <c r="A7" s="7" t="s">
        <v>5</v>
      </c>
      <c r="E7" s="4"/>
      <c r="F7" s="8">
        <f>SUM(F8,F13,F23)+F31</f>
        <v>10054571.65</v>
      </c>
      <c r="G7" s="6">
        <f>F7/F62*100</f>
        <v>31.794430000616853</v>
      </c>
      <c r="H7" s="8">
        <v>10585612.01</v>
      </c>
      <c r="I7" s="6">
        <v>34.72191469965955</v>
      </c>
      <c r="J7" s="87"/>
      <c r="K7" s="25"/>
      <c r="L7" s="88"/>
    </row>
    <row r="8" spans="1:12" s="9" customFormat="1" x14ac:dyDescent="0.25">
      <c r="B8" s="9" t="s">
        <v>6</v>
      </c>
      <c r="E8" s="10"/>
      <c r="F8" s="9">
        <f>F9+F10+F12+F11</f>
        <v>2067570.6099999999</v>
      </c>
      <c r="G8" s="11">
        <f>F8/F62*100</f>
        <v>6.538043719741923</v>
      </c>
      <c r="H8" s="9">
        <v>4765590.51</v>
      </c>
      <c r="I8" s="11">
        <v>15.631635376906946</v>
      </c>
      <c r="J8" s="87"/>
    </row>
    <row r="9" spans="1:12" s="12" customFormat="1" x14ac:dyDescent="0.25">
      <c r="C9" s="12" t="s">
        <v>7</v>
      </c>
      <c r="E9" s="2"/>
      <c r="F9" s="13">
        <v>57767.47</v>
      </c>
      <c r="H9" s="13">
        <v>108179.53</v>
      </c>
      <c r="J9" s="87"/>
      <c r="K9" s="13"/>
    </row>
    <row r="10" spans="1:12" s="12" customFormat="1" x14ac:dyDescent="0.25">
      <c r="C10" s="12" t="s">
        <v>8</v>
      </c>
      <c r="E10" s="2"/>
      <c r="F10" s="13">
        <f>1440124.28-F11</f>
        <v>686754.28</v>
      </c>
      <c r="H10" s="13">
        <v>832594.86</v>
      </c>
      <c r="J10" s="87"/>
      <c r="K10" s="13"/>
    </row>
    <row r="11" spans="1:12" s="12" customFormat="1" x14ac:dyDescent="0.25">
      <c r="C11" s="12" t="s">
        <v>9</v>
      </c>
      <c r="E11" s="2"/>
      <c r="F11" s="13">
        <v>753370</v>
      </c>
      <c r="H11" s="13">
        <v>753370</v>
      </c>
      <c r="J11" s="87"/>
      <c r="K11" s="13"/>
    </row>
    <row r="12" spans="1:12" s="12" customFormat="1" x14ac:dyDescent="0.25">
      <c r="C12" s="12" t="s">
        <v>10</v>
      </c>
      <c r="E12" s="2"/>
      <c r="F12" s="13">
        <v>569678.86</v>
      </c>
      <c r="H12" s="13">
        <v>3071446.12</v>
      </c>
      <c r="J12" s="87"/>
      <c r="K12" s="13"/>
    </row>
    <row r="13" spans="1:12" s="27" customFormat="1" x14ac:dyDescent="0.25">
      <c r="A13" s="14"/>
      <c r="B13" s="14" t="s">
        <v>11</v>
      </c>
      <c r="C13" s="14"/>
      <c r="D13" s="14"/>
      <c r="E13" s="15"/>
      <c r="F13" s="9">
        <f>SUM(F14:F22)</f>
        <v>6378140.0700000003</v>
      </c>
      <c r="G13" s="6">
        <f>F13/F62*100</f>
        <v>20.168867958660826</v>
      </c>
      <c r="H13" s="9">
        <v>4547974.58</v>
      </c>
      <c r="I13" s="6">
        <v>14.91783236281489</v>
      </c>
      <c r="J13" s="87"/>
      <c r="K13" s="26"/>
      <c r="L13" s="32"/>
    </row>
    <row r="14" spans="1:12" s="12" customFormat="1" x14ac:dyDescent="0.25">
      <c r="C14" s="12" t="s">
        <v>12</v>
      </c>
      <c r="E14" s="2"/>
      <c r="F14" s="13">
        <v>391443.15</v>
      </c>
      <c r="H14" s="13">
        <v>438216.68</v>
      </c>
      <c r="J14" s="87"/>
      <c r="K14" s="13"/>
      <c r="L14" s="18"/>
    </row>
    <row r="15" spans="1:12" s="27" customFormat="1" x14ac:dyDescent="0.25">
      <c r="A15" s="12"/>
      <c r="B15" s="12"/>
      <c r="C15" s="12" t="s">
        <v>13</v>
      </c>
      <c r="D15" s="12"/>
      <c r="E15" s="2"/>
      <c r="F15" s="13">
        <v>110897.35</v>
      </c>
      <c r="G15" s="12"/>
      <c r="H15" s="13">
        <v>60773.35</v>
      </c>
      <c r="I15" s="12"/>
      <c r="J15" s="87"/>
      <c r="K15" s="26"/>
      <c r="L15" s="32"/>
    </row>
    <row r="16" spans="1:12" s="27" customFormat="1" x14ac:dyDescent="0.25">
      <c r="A16" s="12"/>
      <c r="B16" s="12"/>
      <c r="C16" s="12" t="s">
        <v>14</v>
      </c>
      <c r="D16" s="12"/>
      <c r="E16" s="2"/>
      <c r="F16" s="13">
        <v>12550.32</v>
      </c>
      <c r="G16" s="12"/>
      <c r="H16" s="13">
        <v>22381.38</v>
      </c>
      <c r="I16" s="12"/>
      <c r="J16" s="87"/>
      <c r="K16" s="26"/>
      <c r="L16" s="32"/>
    </row>
    <row r="17" spans="1:13" s="12" customFormat="1" x14ac:dyDescent="0.25">
      <c r="C17" s="12" t="s">
        <v>15</v>
      </c>
      <c r="E17" s="2"/>
      <c r="F17" s="13">
        <f>5342981.98-391443.15-110897.35-2598560.05</f>
        <v>2242081.4300000006</v>
      </c>
      <c r="H17" s="13">
        <v>1757587.95</v>
      </c>
      <c r="J17" s="87"/>
      <c r="K17" s="13"/>
      <c r="L17" s="18"/>
    </row>
    <row r="18" spans="1:13" s="12" customFormat="1" x14ac:dyDescent="0.25">
      <c r="C18" s="12" t="s">
        <v>16</v>
      </c>
      <c r="E18" s="2"/>
      <c r="F18" s="13">
        <f>2598560.05+151135.27</f>
        <v>2749695.32</v>
      </c>
      <c r="H18" s="13">
        <v>1414861.63</v>
      </c>
      <c r="J18" s="87"/>
      <c r="K18" s="13"/>
      <c r="L18" s="89"/>
    </row>
    <row r="19" spans="1:13" s="12" customFormat="1" x14ac:dyDescent="0.25">
      <c r="C19" s="12" t="s">
        <v>17</v>
      </c>
      <c r="E19" s="2"/>
      <c r="F19" s="13">
        <v>350694.83</v>
      </c>
      <c r="H19" s="13">
        <v>824821.18</v>
      </c>
      <c r="J19" s="87"/>
      <c r="K19" s="13"/>
    </row>
    <row r="20" spans="1:13" s="12" customFormat="1" x14ac:dyDescent="0.25">
      <c r="C20" s="12" t="s">
        <v>18</v>
      </c>
      <c r="E20" s="2"/>
      <c r="F20" s="13">
        <v>508035.46</v>
      </c>
      <c r="H20" s="13">
        <v>15904.95</v>
      </c>
      <c r="J20" s="87"/>
      <c r="K20" s="13"/>
    </row>
    <row r="21" spans="1:13" s="12" customFormat="1" hidden="1" x14ac:dyDescent="0.25">
      <c r="C21" s="12" t="s">
        <v>19</v>
      </c>
      <c r="E21" s="2"/>
      <c r="F21" s="13">
        <v>0</v>
      </c>
      <c r="H21" s="13">
        <v>0</v>
      </c>
      <c r="J21" s="87"/>
      <c r="K21" s="13"/>
    </row>
    <row r="22" spans="1:13" s="27" customFormat="1" x14ac:dyDescent="0.25">
      <c r="A22" s="12"/>
      <c r="B22" s="12"/>
      <c r="C22" s="12" t="s">
        <v>20</v>
      </c>
      <c r="D22" s="12"/>
      <c r="E22" s="2"/>
      <c r="F22" s="13">
        <f>12742.21</f>
        <v>12742.21</v>
      </c>
      <c r="G22" s="12"/>
      <c r="H22" s="13">
        <v>13427.46</v>
      </c>
      <c r="I22" s="12"/>
      <c r="J22" s="87"/>
      <c r="K22" s="26"/>
    </row>
    <row r="23" spans="1:13" s="12" customFormat="1" x14ac:dyDescent="0.25">
      <c r="A23" s="14"/>
      <c r="B23" s="14" t="s">
        <v>21</v>
      </c>
      <c r="C23" s="14"/>
      <c r="D23" s="14"/>
      <c r="E23" s="15"/>
      <c r="F23" s="9">
        <f>SUM(F24:F30)</f>
        <v>1477831.4100000001</v>
      </c>
      <c r="G23" s="6">
        <f>F23/F62*100</f>
        <v>4.6731784260503932</v>
      </c>
      <c r="H23" s="9">
        <v>1141017.3600000001</v>
      </c>
      <c r="I23" s="6">
        <v>3.742656296804018</v>
      </c>
      <c r="J23" s="87"/>
      <c r="K23" s="13"/>
      <c r="M23" s="89"/>
    </row>
    <row r="24" spans="1:13" s="12" customFormat="1" x14ac:dyDescent="0.25">
      <c r="C24" s="12" t="s">
        <v>22</v>
      </c>
      <c r="E24" s="2"/>
      <c r="F24" s="13">
        <v>1215215.28</v>
      </c>
      <c r="H24" s="13">
        <v>901899.36</v>
      </c>
      <c r="J24" s="87"/>
      <c r="K24" s="13"/>
    </row>
    <row r="25" spans="1:13" s="12" customFormat="1" x14ac:dyDescent="0.25">
      <c r="C25" s="12" t="s">
        <v>23</v>
      </c>
      <c r="E25" s="2"/>
      <c r="F25" s="13">
        <v>66581.539999999994</v>
      </c>
      <c r="H25" s="13">
        <v>55718.66</v>
      </c>
      <c r="J25" s="87"/>
      <c r="K25" s="13"/>
    </row>
    <row r="26" spans="1:13" s="12" customFormat="1" x14ac:dyDescent="0.25">
      <c r="C26" s="12" t="s">
        <v>24</v>
      </c>
      <c r="E26" s="2"/>
      <c r="F26" s="13">
        <v>49392.75</v>
      </c>
      <c r="H26" s="13">
        <v>61980</v>
      </c>
      <c r="J26" s="87"/>
      <c r="K26" s="13"/>
    </row>
    <row r="27" spans="1:13" s="12" customFormat="1" x14ac:dyDescent="0.25">
      <c r="C27" s="12" t="s">
        <v>25</v>
      </c>
      <c r="E27" s="2"/>
      <c r="F27" s="13">
        <v>41773.54</v>
      </c>
      <c r="H27" s="13">
        <v>4078.82</v>
      </c>
      <c r="J27" s="87"/>
      <c r="K27" s="13"/>
    </row>
    <row r="28" spans="1:13" s="12" customFormat="1" x14ac:dyDescent="0.25">
      <c r="C28" s="12" t="s">
        <v>26</v>
      </c>
      <c r="E28" s="2"/>
      <c r="F28" s="13">
        <v>15386.59</v>
      </c>
      <c r="H28" s="13">
        <v>13723.78</v>
      </c>
      <c r="J28" s="87"/>
      <c r="K28" s="13"/>
    </row>
    <row r="29" spans="1:13" s="12" customFormat="1" x14ac:dyDescent="0.25">
      <c r="C29" s="12" t="s">
        <v>27</v>
      </c>
      <c r="E29" s="2"/>
      <c r="F29" s="13">
        <v>39700.47</v>
      </c>
      <c r="H29" s="13">
        <v>22770.959999999999</v>
      </c>
      <c r="J29" s="87"/>
      <c r="K29" s="13"/>
    </row>
    <row r="30" spans="1:13" s="12" customFormat="1" x14ac:dyDescent="0.25">
      <c r="C30" s="12" t="s">
        <v>28</v>
      </c>
      <c r="E30" s="2"/>
      <c r="F30" s="13">
        <v>49781.24</v>
      </c>
      <c r="H30" s="13">
        <v>80845.78</v>
      </c>
      <c r="J30" s="87"/>
      <c r="K30" s="13"/>
    </row>
    <row r="31" spans="1:13" s="12" customFormat="1" x14ac:dyDescent="0.25">
      <c r="B31" s="14" t="s">
        <v>29</v>
      </c>
      <c r="E31" s="2"/>
      <c r="F31" s="9">
        <f>F32</f>
        <v>131029.56</v>
      </c>
      <c r="H31" s="9">
        <v>131029.56</v>
      </c>
      <c r="J31" s="87"/>
      <c r="K31" s="13"/>
    </row>
    <row r="32" spans="1:13" s="12" customFormat="1" x14ac:dyDescent="0.25">
      <c r="B32" s="14"/>
      <c r="C32" s="12" t="s">
        <v>30</v>
      </c>
      <c r="E32" s="2"/>
      <c r="F32" s="13">
        <v>131029.56</v>
      </c>
      <c r="H32" s="13">
        <v>131029.56</v>
      </c>
      <c r="J32" s="87"/>
      <c r="K32" s="13"/>
    </row>
    <row r="33" spans="1:12" s="12" customFormat="1" ht="19.5" x14ac:dyDescent="0.55000000000000004">
      <c r="A33" s="7" t="s">
        <v>31</v>
      </c>
      <c r="B33" s="7"/>
      <c r="C33" s="7"/>
      <c r="D33" s="7"/>
      <c r="E33" s="4"/>
      <c r="F33" s="16">
        <f>F34+F38+F41+F57+F61</f>
        <v>21569117.310000002</v>
      </c>
      <c r="G33" s="6">
        <f>F33/F62*100</f>
        <v>68.205569999383158</v>
      </c>
      <c r="H33" s="16">
        <v>19901220.590000004</v>
      </c>
      <c r="I33" s="6">
        <v>65.278085300340464</v>
      </c>
      <c r="J33" s="87"/>
      <c r="K33" s="13"/>
    </row>
    <row r="34" spans="1:12" s="12" customFormat="1" ht="19.5" x14ac:dyDescent="0.55000000000000004">
      <c r="A34" s="7"/>
      <c r="B34" s="14" t="s">
        <v>32</v>
      </c>
      <c r="C34" s="7"/>
      <c r="D34" s="7"/>
      <c r="E34" s="4"/>
      <c r="F34" s="16">
        <f>F36+F37+F35</f>
        <v>1607327.4300000002</v>
      </c>
      <c r="G34" s="6"/>
      <c r="H34" s="16">
        <v>1779672.74</v>
      </c>
      <c r="I34" s="6"/>
      <c r="J34" s="87"/>
      <c r="K34" s="13"/>
    </row>
    <row r="35" spans="1:12" s="12" customFormat="1" x14ac:dyDescent="0.25">
      <c r="C35" s="12" t="s">
        <v>33</v>
      </c>
      <c r="E35" s="2"/>
      <c r="F35" s="13">
        <v>0</v>
      </c>
      <c r="H35" s="13">
        <v>0</v>
      </c>
      <c r="J35" s="87"/>
      <c r="K35" s="13"/>
    </row>
    <row r="36" spans="1:12" s="12" customFormat="1" x14ac:dyDescent="0.25">
      <c r="C36" s="12" t="s">
        <v>34</v>
      </c>
      <c r="E36" s="2"/>
      <c r="F36" s="13">
        <v>690119.41</v>
      </c>
      <c r="H36" s="13">
        <v>731435.16</v>
      </c>
      <c r="J36" s="87"/>
      <c r="K36" s="13"/>
    </row>
    <row r="37" spans="1:12" s="12" customFormat="1" x14ac:dyDescent="0.25">
      <c r="C37" s="12" t="s">
        <v>35</v>
      </c>
      <c r="E37" s="2"/>
      <c r="F37" s="13">
        <v>917208.02</v>
      </c>
      <c r="H37" s="13">
        <v>1048237.58</v>
      </c>
      <c r="J37" s="87"/>
      <c r="K37" s="13"/>
    </row>
    <row r="38" spans="1:12" s="12" customFormat="1" x14ac:dyDescent="0.25">
      <c r="A38" s="14"/>
      <c r="B38" s="14" t="s">
        <v>36</v>
      </c>
      <c r="C38" s="14"/>
      <c r="D38" s="14"/>
      <c r="E38" s="15"/>
      <c r="F38" s="9">
        <f>SUM(F39:F40)</f>
        <v>75009.649999999994</v>
      </c>
      <c r="H38" s="9">
        <v>75009.649999999994</v>
      </c>
      <c r="J38" s="87"/>
      <c r="K38" s="13"/>
    </row>
    <row r="39" spans="1:12" s="12" customFormat="1" x14ac:dyDescent="0.25">
      <c r="C39" s="12" t="s">
        <v>37</v>
      </c>
      <c r="E39" s="2"/>
      <c r="F39" s="13">
        <v>1142.04</v>
      </c>
      <c r="H39" s="13">
        <v>1142.04</v>
      </c>
      <c r="J39" s="87"/>
      <c r="K39" s="13"/>
    </row>
    <row r="40" spans="1:12" s="12" customFormat="1" x14ac:dyDescent="0.25">
      <c r="C40" s="12" t="s">
        <v>38</v>
      </c>
      <c r="E40" s="2"/>
      <c r="F40" s="13">
        <v>73867.61</v>
      </c>
      <c r="H40" s="13">
        <v>73867.61</v>
      </c>
      <c r="J40" s="87"/>
      <c r="K40" s="13"/>
    </row>
    <row r="41" spans="1:12" s="12" customFormat="1" x14ac:dyDescent="0.25">
      <c r="A41" s="14"/>
      <c r="B41" s="14" t="s">
        <v>39</v>
      </c>
      <c r="C41" s="14"/>
      <c r="D41" s="14"/>
      <c r="E41" s="17"/>
      <c r="F41" s="9">
        <f>SUM(F42:F56)</f>
        <v>26513974.129999999</v>
      </c>
      <c r="G41" s="6">
        <f>F41/F62*100</f>
        <v>83.842129118892004</v>
      </c>
      <c r="H41" s="9">
        <v>23438940.48</v>
      </c>
      <c r="I41" s="6">
        <v>76.882176602367011</v>
      </c>
      <c r="J41" s="87"/>
      <c r="K41" s="13"/>
    </row>
    <row r="42" spans="1:12" s="12" customFormat="1" x14ac:dyDescent="0.25">
      <c r="C42" s="12" t="s">
        <v>47</v>
      </c>
      <c r="E42" s="2"/>
      <c r="F42" s="13">
        <v>1868.44</v>
      </c>
      <c r="H42" s="13">
        <v>1868.44</v>
      </c>
      <c r="J42" s="87"/>
      <c r="K42" s="13"/>
    </row>
    <row r="43" spans="1:12" s="12" customFormat="1" x14ac:dyDescent="0.25">
      <c r="C43" s="12" t="s">
        <v>51</v>
      </c>
      <c r="E43" s="2"/>
      <c r="F43" s="19">
        <f>[1]Plan3!B5</f>
        <v>1045068.45</v>
      </c>
      <c r="H43" s="19">
        <v>205325.82</v>
      </c>
      <c r="J43" s="87"/>
      <c r="K43" s="13"/>
    </row>
    <row r="44" spans="1:12" s="12" customFormat="1" x14ac:dyDescent="0.25">
      <c r="C44" s="12" t="s">
        <v>41</v>
      </c>
      <c r="E44" s="2"/>
      <c r="F44" s="13">
        <f>[1]Plan3!B16</f>
        <v>8337947.6600000001</v>
      </c>
      <c r="H44" s="13">
        <v>7886259.0499999998</v>
      </c>
      <c r="I44" s="18"/>
      <c r="J44" s="87"/>
      <c r="K44" s="13"/>
    </row>
    <row r="45" spans="1:12" s="12" customFormat="1" x14ac:dyDescent="0.25">
      <c r="C45" s="12" t="s">
        <v>49</v>
      </c>
      <c r="E45" s="2"/>
      <c r="F45" s="13">
        <v>133883.85999999999</v>
      </c>
      <c r="H45" s="13">
        <v>133883.85999999999</v>
      </c>
      <c r="J45" s="87"/>
      <c r="K45" s="13"/>
    </row>
    <row r="46" spans="1:12" s="12" customFormat="1" x14ac:dyDescent="0.25">
      <c r="C46" s="12" t="s">
        <v>43</v>
      </c>
      <c r="E46" s="2"/>
      <c r="F46" s="13">
        <f>[1]Plan3!B35</f>
        <v>8598304.9699999988</v>
      </c>
      <c r="G46" s="18"/>
      <c r="H46" s="13">
        <v>7428210.9699999979</v>
      </c>
      <c r="J46" s="87"/>
      <c r="K46" s="13"/>
    </row>
    <row r="47" spans="1:12" s="12" customFormat="1" x14ac:dyDescent="0.25">
      <c r="C47" s="12" t="s">
        <v>52</v>
      </c>
      <c r="E47" s="2"/>
      <c r="F47" s="13">
        <f>[1]Plan3!B39</f>
        <v>515228.43</v>
      </c>
      <c r="H47" s="13">
        <v>510990.73</v>
      </c>
      <c r="J47" s="87"/>
      <c r="K47" s="13"/>
      <c r="L47" s="89"/>
    </row>
    <row r="48" spans="1:12" s="12" customFormat="1" x14ac:dyDescent="0.25">
      <c r="C48" s="12" t="s">
        <v>44</v>
      </c>
      <c r="E48" s="2"/>
      <c r="F48" s="13">
        <f>[1]Plan3!B41</f>
        <v>438230.96</v>
      </c>
      <c r="H48" s="13">
        <v>438230.96</v>
      </c>
      <c r="J48" s="87"/>
      <c r="K48" s="13"/>
    </row>
    <row r="49" spans="1:13" s="12" customFormat="1" x14ac:dyDescent="0.25">
      <c r="C49" s="12" t="s">
        <v>42</v>
      </c>
      <c r="E49" s="2"/>
      <c r="F49" s="13">
        <f>[1]Plan3!B59</f>
        <v>4370888.9799999995</v>
      </c>
      <c r="H49" s="13">
        <v>4024162.43</v>
      </c>
      <c r="J49" s="87"/>
      <c r="K49" s="13"/>
    </row>
    <row r="50" spans="1:13" s="12" customFormat="1" x14ac:dyDescent="0.25">
      <c r="C50" s="12" t="s">
        <v>45</v>
      </c>
      <c r="E50" s="2"/>
      <c r="F50" s="13">
        <f>[1]Plan3!B68</f>
        <v>1535330.9199999997</v>
      </c>
      <c r="H50" s="13">
        <v>1392414.99</v>
      </c>
      <c r="J50" s="87"/>
      <c r="K50" s="13"/>
    </row>
    <row r="51" spans="1:13" s="12" customFormat="1" x14ac:dyDescent="0.25">
      <c r="C51" s="12" t="s">
        <v>50</v>
      </c>
      <c r="E51" s="2"/>
      <c r="F51" s="13">
        <v>26202</v>
      </c>
      <c r="H51" s="13">
        <v>26202</v>
      </c>
      <c r="J51" s="87"/>
      <c r="K51" s="13"/>
    </row>
    <row r="52" spans="1:13" s="12" customFormat="1" x14ac:dyDescent="0.25">
      <c r="C52" s="12" t="s">
        <v>46</v>
      </c>
      <c r="E52" s="2"/>
      <c r="F52" s="13">
        <f>[1]Plan3!B20</f>
        <v>868386.14</v>
      </c>
      <c r="H52" s="13">
        <v>748757.91</v>
      </c>
      <c r="J52" s="87"/>
      <c r="K52" s="13"/>
    </row>
    <row r="53" spans="1:13" s="12" customFormat="1" x14ac:dyDescent="0.25">
      <c r="C53" s="12" t="s">
        <v>54</v>
      </c>
      <c r="E53" s="2"/>
      <c r="F53" s="13">
        <v>9200</v>
      </c>
      <c r="H53" s="13">
        <v>9200</v>
      </c>
      <c r="J53" s="87"/>
      <c r="K53" s="13"/>
      <c r="L53" s="89"/>
    </row>
    <row r="54" spans="1:13" s="12" customFormat="1" x14ac:dyDescent="0.25">
      <c r="C54" s="12" t="s">
        <v>48</v>
      </c>
      <c r="E54" s="2"/>
      <c r="F54" s="13">
        <f>[1]Plan3!B75</f>
        <v>1780</v>
      </c>
      <c r="H54" s="13">
        <v>1780</v>
      </c>
      <c r="J54" s="87"/>
      <c r="K54" s="13"/>
      <c r="L54" s="89"/>
    </row>
    <row r="55" spans="1:13" s="12" customFormat="1" x14ac:dyDescent="0.25">
      <c r="C55" s="12" t="s">
        <v>40</v>
      </c>
      <c r="E55" s="2"/>
      <c r="F55" s="13">
        <v>592000</v>
      </c>
      <c r="H55" s="13">
        <v>592000</v>
      </c>
      <c r="J55" s="87"/>
      <c r="K55" s="13"/>
      <c r="L55" s="89"/>
    </row>
    <row r="56" spans="1:13" s="12" customFormat="1" x14ac:dyDescent="0.25">
      <c r="C56" s="12" t="s">
        <v>53</v>
      </c>
      <c r="E56" s="2"/>
      <c r="F56" s="13">
        <v>39653.32</v>
      </c>
      <c r="H56" s="13">
        <v>39653.32</v>
      </c>
      <c r="J56" s="87"/>
      <c r="K56" s="13"/>
      <c r="L56" s="89"/>
    </row>
    <row r="57" spans="1:13" s="12" customFormat="1" x14ac:dyDescent="0.25">
      <c r="A57" s="14"/>
      <c r="B57" s="14" t="s">
        <v>55</v>
      </c>
      <c r="C57" s="14"/>
      <c r="D57" s="14"/>
      <c r="E57" s="15"/>
      <c r="F57" s="9">
        <f>SUM(F58:F60)</f>
        <v>67150.100000000006</v>
      </c>
      <c r="G57" s="6">
        <f>F57/F62*100</f>
        <v>0.21234113478960809</v>
      </c>
      <c r="H57" s="9">
        <v>67150.100000000006</v>
      </c>
      <c r="I57" s="6">
        <v>0.22025935222932932</v>
      </c>
      <c r="J57" s="87"/>
      <c r="K57" s="13"/>
    </row>
    <row r="58" spans="1:13" s="12" customFormat="1" x14ac:dyDescent="0.25">
      <c r="C58" s="12" t="s">
        <v>56</v>
      </c>
      <c r="E58" s="2"/>
      <c r="F58" s="13">
        <v>62500</v>
      </c>
      <c r="H58" s="13">
        <v>62500</v>
      </c>
      <c r="J58" s="87"/>
      <c r="K58" s="13"/>
      <c r="M58" s="89"/>
    </row>
    <row r="59" spans="1:13" s="12" customFormat="1" x14ac:dyDescent="0.25">
      <c r="C59" s="12" t="s">
        <v>42</v>
      </c>
      <c r="E59" s="2"/>
      <c r="F59" s="13">
        <f>639.2+2885.9</f>
        <v>3525.1000000000004</v>
      </c>
      <c r="H59" s="13">
        <v>3525.1</v>
      </c>
      <c r="J59" s="87"/>
      <c r="K59" s="13"/>
    </row>
    <row r="60" spans="1:13" s="12" customFormat="1" x14ac:dyDescent="0.25">
      <c r="C60" s="12" t="s">
        <v>45</v>
      </c>
      <c r="E60" s="2"/>
      <c r="F60" s="13">
        <v>1125</v>
      </c>
      <c r="H60" s="13">
        <v>1125</v>
      </c>
      <c r="J60" s="87"/>
      <c r="K60" s="13"/>
    </row>
    <row r="61" spans="1:13" s="12" customFormat="1" x14ac:dyDescent="0.25">
      <c r="B61" s="14" t="s">
        <v>57</v>
      </c>
      <c r="C61" s="14"/>
      <c r="D61" s="14"/>
      <c r="E61" s="15"/>
      <c r="F61" s="9">
        <v>-6694344</v>
      </c>
      <c r="G61" s="14"/>
      <c r="H61" s="9">
        <v>-5459552.3799999999</v>
      </c>
      <c r="I61" s="14"/>
      <c r="J61" s="87"/>
      <c r="K61" s="13"/>
    </row>
    <row r="62" spans="1:13" s="12" customFormat="1" x14ac:dyDescent="0.25">
      <c r="A62" s="7" t="s">
        <v>58</v>
      </c>
      <c r="B62" s="7"/>
      <c r="C62" s="7"/>
      <c r="D62" s="7"/>
      <c r="E62" s="4"/>
      <c r="F62" s="20">
        <f>F33+F7</f>
        <v>31623688.960000001</v>
      </c>
      <c r="G62" s="10">
        <f>F62/F62*100</f>
        <v>100</v>
      </c>
      <c r="H62" s="20">
        <v>30486832.600000001</v>
      </c>
      <c r="I62" s="10">
        <v>100</v>
      </c>
      <c r="J62" s="87"/>
      <c r="K62" s="13"/>
    </row>
    <row r="63" spans="1:13" s="12" customFormat="1" x14ac:dyDescent="0.25">
      <c r="A63" s="7"/>
      <c r="B63" s="7"/>
      <c r="C63" s="7"/>
      <c r="D63" s="7"/>
      <c r="E63" s="4"/>
      <c r="F63" s="20"/>
      <c r="G63" s="10"/>
      <c r="H63" s="20"/>
      <c r="I63" s="10"/>
      <c r="J63" s="87"/>
      <c r="K63" s="13"/>
    </row>
    <row r="64" spans="1:13" s="12" customFormat="1" x14ac:dyDescent="0.25">
      <c r="A64" s="7"/>
      <c r="B64" s="7"/>
      <c r="C64" s="7"/>
      <c r="D64" s="7"/>
      <c r="E64" s="4"/>
      <c r="F64" s="20"/>
      <c r="G64" s="10"/>
      <c r="H64" s="20"/>
      <c r="I64" s="10"/>
      <c r="J64" s="87"/>
      <c r="K64" s="13"/>
    </row>
    <row r="65" spans="1:11" s="12" customFormat="1" x14ac:dyDescent="0.25">
      <c r="A65" s="7"/>
      <c r="B65" s="7"/>
      <c r="C65" s="7"/>
      <c r="D65" s="7"/>
      <c r="E65" s="4"/>
      <c r="F65" s="20"/>
      <c r="G65" s="10"/>
      <c r="H65" s="20"/>
      <c r="I65" s="10"/>
      <c r="J65" s="87"/>
      <c r="K65" s="13"/>
    </row>
    <row r="66" spans="1:11" s="12" customFormat="1" ht="12.75" x14ac:dyDescent="0.2">
      <c r="A66" s="77" t="s">
        <v>220</v>
      </c>
      <c r="B66" s="77"/>
      <c r="C66" s="77"/>
      <c r="D66" s="77"/>
      <c r="E66" s="77"/>
      <c r="F66" s="77"/>
      <c r="G66" s="77"/>
      <c r="H66" s="77"/>
      <c r="I66" s="77"/>
      <c r="J66" s="19"/>
      <c r="K66" s="13"/>
    </row>
    <row r="67" spans="1:11" s="12" customFormat="1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19"/>
      <c r="K67" s="13"/>
    </row>
    <row r="68" spans="1:11" s="12" customFormat="1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19"/>
      <c r="K68" s="13"/>
    </row>
    <row r="69" spans="1:11" s="12" customFormat="1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19"/>
      <c r="K69" s="13"/>
    </row>
    <row r="70" spans="1:11" s="12" customFormat="1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19"/>
      <c r="K70" s="13"/>
    </row>
    <row r="71" spans="1:11" s="12" customFormat="1" ht="12.75" x14ac:dyDescent="0.2">
      <c r="A71" s="2"/>
      <c r="B71" s="2"/>
      <c r="C71" s="2" t="s">
        <v>221</v>
      </c>
      <c r="E71" s="2"/>
      <c r="F71" s="22"/>
      <c r="G71" s="77" t="s">
        <v>59</v>
      </c>
      <c r="H71" s="77"/>
      <c r="I71" s="2"/>
      <c r="J71" s="19"/>
      <c r="K71" s="13"/>
    </row>
    <row r="72" spans="1:11" s="12" customFormat="1" x14ac:dyDescent="0.25">
      <c r="A72" s="7"/>
      <c r="B72" s="13"/>
      <c r="C72" s="2" t="s">
        <v>222</v>
      </c>
      <c r="E72" s="2"/>
      <c r="F72" s="23"/>
      <c r="G72" s="77" t="s">
        <v>60</v>
      </c>
      <c r="H72" s="77"/>
      <c r="I72" s="21"/>
      <c r="J72" s="19"/>
      <c r="K72" s="13"/>
    </row>
    <row r="73" spans="1:11" s="12" customFormat="1" x14ac:dyDescent="0.25">
      <c r="A73" s="7"/>
      <c r="B73" s="13"/>
      <c r="C73" s="24" t="s">
        <v>223</v>
      </c>
      <c r="E73" s="2"/>
      <c r="F73" s="23"/>
      <c r="G73" s="77" t="s">
        <v>61</v>
      </c>
      <c r="H73" s="77"/>
      <c r="I73" s="21"/>
      <c r="J73" s="19"/>
      <c r="K73" s="13"/>
    </row>
    <row r="74" spans="1:11" s="12" customFormat="1" x14ac:dyDescent="0.25">
      <c r="A74" s="7"/>
      <c r="B74" s="13"/>
      <c r="C74" s="24"/>
      <c r="E74" s="2"/>
      <c r="F74" s="23"/>
      <c r="G74" s="2"/>
      <c r="H74" s="2"/>
      <c r="I74" s="21"/>
      <c r="J74" s="19"/>
      <c r="K74" s="13"/>
    </row>
    <row r="75" spans="1:11" s="12" customFormat="1" x14ac:dyDescent="0.25">
      <c r="A75" s="7"/>
      <c r="B75" s="13"/>
      <c r="C75" s="24"/>
      <c r="E75" s="2"/>
      <c r="F75" s="23"/>
      <c r="G75" s="2"/>
      <c r="H75" s="2"/>
      <c r="I75" s="21"/>
      <c r="J75" s="19"/>
      <c r="K75" s="13"/>
    </row>
    <row r="76" spans="1:11" s="12" customFormat="1" x14ac:dyDescent="0.25">
      <c r="A76" s="7"/>
      <c r="B76" s="13"/>
      <c r="C76" s="24"/>
      <c r="E76" s="2"/>
      <c r="F76" s="23"/>
      <c r="G76" s="2"/>
      <c r="H76" s="2"/>
      <c r="I76" s="21"/>
      <c r="J76" s="19"/>
      <c r="K76" s="13"/>
    </row>
    <row r="77" spans="1:11" s="12" customFormat="1" x14ac:dyDescent="0.25">
      <c r="A77" s="7"/>
      <c r="B77" s="13"/>
      <c r="C77" s="24"/>
      <c r="E77" s="2"/>
      <c r="F77" s="23"/>
      <c r="G77" s="2"/>
      <c r="H77" s="2"/>
      <c r="I77" s="21"/>
      <c r="J77" s="19"/>
      <c r="K77" s="13"/>
    </row>
    <row r="78" spans="1:11" s="12" customFormat="1" x14ac:dyDescent="0.25">
      <c r="A78" s="7"/>
      <c r="B78" s="13"/>
      <c r="C78" s="24"/>
      <c r="E78" s="2"/>
      <c r="F78" s="23"/>
      <c r="G78" s="2"/>
      <c r="H78" s="2"/>
      <c r="I78" s="21"/>
      <c r="J78" s="19"/>
      <c r="K78" s="13"/>
    </row>
    <row r="79" spans="1:11" s="12" customFormat="1" x14ac:dyDescent="0.25">
      <c r="A79" s="7"/>
      <c r="B79" s="13"/>
      <c r="C79" s="24"/>
      <c r="E79" s="2"/>
      <c r="F79" s="23"/>
      <c r="G79" s="2"/>
      <c r="H79" s="2"/>
      <c r="I79" s="21"/>
      <c r="J79" s="19"/>
      <c r="K79" s="13"/>
    </row>
    <row r="80" spans="1:11" s="12" customFormat="1" x14ac:dyDescent="0.25">
      <c r="A80" s="7"/>
      <c r="B80" s="13"/>
      <c r="C80" s="24"/>
      <c r="E80" s="2"/>
      <c r="F80" s="23"/>
      <c r="G80" s="2"/>
      <c r="H80" s="2"/>
      <c r="I80" s="21"/>
      <c r="J80" s="19"/>
      <c r="K80" s="13"/>
    </row>
    <row r="81" spans="1:11" s="12" customFormat="1" x14ac:dyDescent="0.25">
      <c r="A81" s="7"/>
      <c r="B81" s="13"/>
      <c r="C81" s="24"/>
      <c r="E81" s="2"/>
      <c r="F81" s="23"/>
      <c r="G81" s="2"/>
      <c r="H81" s="2"/>
      <c r="I81" s="21"/>
      <c r="J81" s="19"/>
      <c r="K81" s="13"/>
    </row>
    <row r="82" spans="1:11" s="12" customFormat="1" x14ac:dyDescent="0.25">
      <c r="A82" s="7"/>
      <c r="B82" s="13"/>
      <c r="C82" s="24"/>
      <c r="E82" s="2"/>
      <c r="F82" s="23"/>
      <c r="G82" s="2"/>
      <c r="H82" s="2"/>
      <c r="I82" s="21"/>
      <c r="J82" s="19"/>
      <c r="K82" s="13"/>
    </row>
    <row r="83" spans="1:11" s="12" customFormat="1" x14ac:dyDescent="0.25">
      <c r="A83" s="7"/>
      <c r="B83" s="13"/>
      <c r="C83" s="24"/>
      <c r="E83" s="2"/>
      <c r="F83" s="23"/>
      <c r="G83" s="2"/>
      <c r="H83" s="2"/>
      <c r="I83" s="21"/>
      <c r="J83" s="19"/>
      <c r="K83" s="13"/>
    </row>
    <row r="84" spans="1:11" s="12" customFormat="1" ht="18" x14ac:dyDescent="0.25">
      <c r="A84" s="78" t="s">
        <v>0</v>
      </c>
      <c r="B84" s="78"/>
      <c r="C84" s="78"/>
      <c r="D84" s="78"/>
      <c r="E84" s="78"/>
      <c r="F84" s="78"/>
      <c r="G84" s="78"/>
      <c r="H84" s="78"/>
      <c r="I84" s="78"/>
      <c r="J84" s="19"/>
      <c r="K84" s="13"/>
    </row>
    <row r="85" spans="1:11" s="12" customFormat="1" ht="14.25" x14ac:dyDescent="0.2">
      <c r="A85" s="79" t="s">
        <v>1</v>
      </c>
      <c r="B85" s="79"/>
      <c r="C85" s="79"/>
      <c r="D85" s="79"/>
      <c r="E85" s="79"/>
      <c r="F85" s="79"/>
      <c r="G85" s="79"/>
      <c r="H85" s="79"/>
      <c r="I85" s="79"/>
      <c r="J85" s="19"/>
      <c r="K85" s="13"/>
    </row>
    <row r="86" spans="1:11" s="12" customFormat="1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19"/>
      <c r="K86" s="13"/>
    </row>
    <row r="87" spans="1:11" s="12" customFormat="1" ht="15.75" x14ac:dyDescent="0.25">
      <c r="A87" s="75" t="s">
        <v>2</v>
      </c>
      <c r="B87" s="75"/>
      <c r="C87" s="75"/>
      <c r="D87" s="75"/>
      <c r="E87" s="75"/>
      <c r="F87" s="75"/>
      <c r="G87" s="75"/>
      <c r="H87" s="75"/>
      <c r="I87" s="75"/>
      <c r="J87" s="19"/>
      <c r="K87" s="13"/>
    </row>
    <row r="88" spans="1:11" s="7" customFormat="1" x14ac:dyDescent="0.25">
      <c r="B88" s="25"/>
      <c r="E88" s="4"/>
      <c r="G88" s="14"/>
      <c r="I88" s="14"/>
      <c r="J88" s="87"/>
      <c r="K88" s="25"/>
    </row>
    <row r="89" spans="1:11" s="4" customFormat="1" x14ac:dyDescent="0.25">
      <c r="A89" s="80" t="s">
        <v>62</v>
      </c>
      <c r="B89" s="80"/>
      <c r="C89" s="80"/>
      <c r="D89" s="80"/>
      <c r="E89" s="80"/>
      <c r="F89" s="5">
        <v>44561</v>
      </c>
      <c r="G89" s="6" t="s">
        <v>4</v>
      </c>
      <c r="H89" s="5">
        <v>44196</v>
      </c>
      <c r="I89" s="6" t="s">
        <v>4</v>
      </c>
      <c r="J89" s="86"/>
      <c r="K89" s="31"/>
    </row>
    <row r="90" spans="1:11" s="7" customFormat="1" ht="19.5" x14ac:dyDescent="0.55000000000000004">
      <c r="A90" s="7" t="s">
        <v>5</v>
      </c>
      <c r="B90" s="25"/>
      <c r="E90" s="4"/>
      <c r="F90" s="16">
        <f>SUM(F91:F101)-F94-F95</f>
        <v>17871160.359999999</v>
      </c>
      <c r="G90" s="6">
        <f>F90/F110*100</f>
        <v>56.511940724577627</v>
      </c>
      <c r="H90" s="16">
        <v>17069662.460000001</v>
      </c>
      <c r="I90" s="6">
        <v>55.990278439092435</v>
      </c>
      <c r="J90" s="87"/>
      <c r="K90" s="25"/>
    </row>
    <row r="91" spans="1:11" s="12" customFormat="1" ht="12.75" x14ac:dyDescent="0.2">
      <c r="B91" s="13"/>
      <c r="C91" s="12" t="s">
        <v>63</v>
      </c>
      <c r="E91" s="2"/>
      <c r="F91" s="13">
        <v>4841306.6399999997</v>
      </c>
      <c r="H91" s="13">
        <v>5164172.97</v>
      </c>
      <c r="J91" s="19"/>
      <c r="K91" s="13"/>
    </row>
    <row r="92" spans="1:11" s="12" customFormat="1" ht="12.75" x14ac:dyDescent="0.2">
      <c r="B92" s="13" t="s">
        <v>64</v>
      </c>
      <c r="C92" s="12" t="s">
        <v>65</v>
      </c>
      <c r="E92" s="2"/>
      <c r="F92" s="13">
        <v>2556003.41</v>
      </c>
      <c r="H92" s="13">
        <v>3826798.5</v>
      </c>
      <c r="J92" s="19"/>
      <c r="K92" s="13"/>
    </row>
    <row r="93" spans="1:11" s="12" customFormat="1" ht="12.75" x14ac:dyDescent="0.2">
      <c r="B93" s="13"/>
      <c r="C93" s="12" t="s">
        <v>66</v>
      </c>
      <c r="E93" s="2"/>
      <c r="F93" s="13">
        <f>F94+F95</f>
        <v>7410520.7000000002</v>
      </c>
      <c r="H93" s="13">
        <v>5423822.4399999995</v>
      </c>
      <c r="J93" s="19"/>
      <c r="K93" s="13"/>
    </row>
    <row r="94" spans="1:11" s="12" customFormat="1" ht="12.75" x14ac:dyDescent="0.2">
      <c r="B94" s="13"/>
      <c r="C94" s="12" t="s">
        <v>67</v>
      </c>
      <c r="E94" s="2"/>
      <c r="F94" s="13">
        <v>1961624.87</v>
      </c>
      <c r="H94" s="13">
        <v>1630283.48</v>
      </c>
      <c r="J94" s="19"/>
      <c r="K94" s="13"/>
    </row>
    <row r="95" spans="1:11" s="12" customFormat="1" ht="12.75" x14ac:dyDescent="0.2">
      <c r="B95" s="13"/>
      <c r="C95" s="12" t="s">
        <v>68</v>
      </c>
      <c r="E95" s="2"/>
      <c r="F95" s="13">
        <f>'[2]balancete 2021'!$N$54+'[2]balancete 2021'!$N$56</f>
        <v>5448895.8300000001</v>
      </c>
      <c r="H95" s="13">
        <v>3793538.96</v>
      </c>
      <c r="J95" s="19"/>
      <c r="K95" s="13"/>
    </row>
    <row r="96" spans="1:11" s="12" customFormat="1" ht="12.75" x14ac:dyDescent="0.2">
      <c r="B96" s="13"/>
      <c r="C96" s="12" t="s">
        <v>69</v>
      </c>
      <c r="E96" s="2"/>
      <c r="F96" s="13">
        <f>[1]Plan4!N55+[1]Plan4!N58+[1]Plan4!N59+[1]Plan4!N60+[1]Plan4!N61</f>
        <v>1123255.2499999998</v>
      </c>
      <c r="H96" s="13">
        <v>1170829.4099999999</v>
      </c>
      <c r="J96" s="19"/>
      <c r="K96" s="13"/>
    </row>
    <row r="97" spans="1:11" s="12" customFormat="1" ht="12.75" x14ac:dyDescent="0.2">
      <c r="B97" s="13"/>
      <c r="C97" s="12" t="s">
        <v>70</v>
      </c>
      <c r="E97" s="2"/>
      <c r="F97" s="13">
        <f>[1]Plan4!N62</f>
        <v>912197.54999999993</v>
      </c>
      <c r="H97" s="13">
        <v>891488.21</v>
      </c>
      <c r="J97" s="19"/>
      <c r="K97" s="13"/>
    </row>
    <row r="98" spans="1:11" s="12" customFormat="1" ht="12.75" x14ac:dyDescent="0.2">
      <c r="B98" s="13"/>
      <c r="C98" s="12" t="s">
        <v>71</v>
      </c>
      <c r="E98" s="2"/>
      <c r="F98" s="13">
        <v>225284.09</v>
      </c>
      <c r="H98" s="13">
        <v>270297.03000000003</v>
      </c>
      <c r="J98" s="19"/>
      <c r="K98" s="13"/>
    </row>
    <row r="99" spans="1:11" s="12" customFormat="1" ht="12.75" x14ac:dyDescent="0.2">
      <c r="B99" s="13"/>
      <c r="C99" s="12" t="s">
        <v>72</v>
      </c>
      <c r="E99" s="2"/>
      <c r="F99" s="13">
        <v>0</v>
      </c>
      <c r="H99" s="13">
        <v>77768.61</v>
      </c>
      <c r="J99" s="19"/>
      <c r="K99" s="13"/>
    </row>
    <row r="100" spans="1:11" s="12" customFormat="1" ht="12.75" x14ac:dyDescent="0.2">
      <c r="B100" s="13"/>
      <c r="C100" s="12" t="s">
        <v>73</v>
      </c>
      <c r="E100" s="2"/>
      <c r="F100" s="13">
        <f>[1]Plan4!N57</f>
        <v>754803.77</v>
      </c>
      <c r="H100" s="13">
        <v>236049.53</v>
      </c>
      <c r="J100" s="19"/>
      <c r="K100" s="13"/>
    </row>
    <row r="101" spans="1:11" s="12" customFormat="1" ht="12.75" x14ac:dyDescent="0.2">
      <c r="B101" s="13"/>
      <c r="C101" s="12" t="s">
        <v>74</v>
      </c>
      <c r="E101" s="2"/>
      <c r="F101" s="13">
        <f>[1]Plan4!N68-F98</f>
        <v>47788.949999999983</v>
      </c>
      <c r="H101" s="13">
        <v>8435.76</v>
      </c>
      <c r="J101" s="19"/>
      <c r="K101" s="13"/>
    </row>
    <row r="102" spans="1:11" s="27" customFormat="1" ht="19.5" x14ac:dyDescent="0.55000000000000004">
      <c r="A102" s="7" t="s">
        <v>31</v>
      </c>
      <c r="B102" s="26"/>
      <c r="E102" s="1"/>
      <c r="F102" s="16">
        <f>SUM(F104:F106)</f>
        <v>10968233.560000001</v>
      </c>
      <c r="G102" s="6">
        <f>F102/F110*100</f>
        <v>34.683599291257387</v>
      </c>
      <c r="H102" s="16">
        <v>10928825.59</v>
      </c>
      <c r="I102" s="6">
        <v>35.847691143880915</v>
      </c>
      <c r="J102" s="87"/>
      <c r="K102" s="26"/>
    </row>
    <row r="103" spans="1:11" s="7" customFormat="1" x14ac:dyDescent="0.25">
      <c r="B103" s="25" t="s">
        <v>75</v>
      </c>
      <c r="E103" s="4"/>
      <c r="F103" s="25">
        <f>SUM(F104:F106)</f>
        <v>10968233.560000001</v>
      </c>
      <c r="G103" s="6"/>
      <c r="H103" s="25">
        <v>10928825.59</v>
      </c>
      <c r="I103" s="6"/>
      <c r="J103" s="87"/>
      <c r="K103" s="25"/>
    </row>
    <row r="104" spans="1:11" s="12" customFormat="1" x14ac:dyDescent="0.25">
      <c r="A104" s="14"/>
      <c r="B104" s="13"/>
      <c r="C104" s="12" t="s">
        <v>76</v>
      </c>
      <c r="E104" s="2"/>
      <c r="F104" s="13">
        <v>7657040.4800000004</v>
      </c>
      <c r="G104" s="6"/>
      <c r="H104" s="13">
        <v>7370392.21</v>
      </c>
      <c r="I104" s="6"/>
      <c r="J104" s="87"/>
      <c r="K104" s="13"/>
    </row>
    <row r="105" spans="1:11" s="12" customFormat="1" x14ac:dyDescent="0.25">
      <c r="B105" s="13"/>
      <c r="C105" s="12" t="s">
        <v>77</v>
      </c>
      <c r="E105" s="2"/>
      <c r="F105" s="13">
        <v>3068286.42</v>
      </c>
      <c r="H105" s="13">
        <v>3315526.72</v>
      </c>
      <c r="J105" s="87"/>
      <c r="K105" s="13"/>
    </row>
    <row r="106" spans="1:11" s="12" customFormat="1" x14ac:dyDescent="0.25">
      <c r="B106" s="13"/>
      <c r="C106" s="12" t="s">
        <v>78</v>
      </c>
      <c r="E106" s="2"/>
      <c r="F106" s="13">
        <v>242906.66</v>
      </c>
      <c r="H106" s="13">
        <v>242906.66</v>
      </c>
      <c r="J106" s="87"/>
      <c r="K106" s="13"/>
    </row>
    <row r="107" spans="1:11" s="27" customFormat="1" ht="19.5" x14ac:dyDescent="0.55000000000000004">
      <c r="A107" s="7" t="s">
        <v>79</v>
      </c>
      <c r="B107" s="26"/>
      <c r="E107" s="1"/>
      <c r="F107" s="16">
        <f>SUM(F108:F109)</f>
        <v>2784295.04</v>
      </c>
      <c r="G107" s="6">
        <f>F107/F110*100</f>
        <v>8.8044599841649855</v>
      </c>
      <c r="H107" s="16">
        <v>2488344.5499999998</v>
      </c>
      <c r="I107" s="6">
        <v>8.1620304170266511</v>
      </c>
      <c r="J107" s="87"/>
      <c r="K107" s="26"/>
    </row>
    <row r="108" spans="1:11" s="12" customFormat="1" x14ac:dyDescent="0.25">
      <c r="B108" s="13"/>
      <c r="C108" s="12" t="s">
        <v>80</v>
      </c>
      <c r="E108" s="2"/>
      <c r="F108" s="13">
        <v>1306718.3600000001</v>
      </c>
      <c r="H108" s="13">
        <v>1306718.3600000001</v>
      </c>
      <c r="J108" s="87"/>
      <c r="K108" s="13"/>
    </row>
    <row r="109" spans="1:11" s="12" customFormat="1" x14ac:dyDescent="0.25">
      <c r="A109" s="27" t="s">
        <v>64</v>
      </c>
      <c r="B109" s="13"/>
      <c r="C109" s="12" t="s">
        <v>81</v>
      </c>
      <c r="E109" s="2"/>
      <c r="F109" s="13">
        <f>1415248.07+62328.61</f>
        <v>1477576.6800000002</v>
      </c>
      <c r="H109" s="13">
        <v>1181626.19</v>
      </c>
      <c r="J109" s="87"/>
      <c r="K109" s="13"/>
    </row>
    <row r="110" spans="1:11" s="27" customFormat="1" x14ac:dyDescent="0.25">
      <c r="A110" s="7" t="s">
        <v>82</v>
      </c>
      <c r="B110" s="26"/>
      <c r="E110" s="1"/>
      <c r="F110" s="25">
        <f>F107+F102+F90</f>
        <v>31623688.960000001</v>
      </c>
      <c r="G110" s="6">
        <f>F110/F110*100</f>
        <v>100</v>
      </c>
      <c r="H110" s="25">
        <v>30486832.599999998</v>
      </c>
      <c r="I110" s="6">
        <v>100</v>
      </c>
      <c r="J110" s="87"/>
      <c r="K110" s="26"/>
    </row>
    <row r="111" spans="1:11" s="27" customFormat="1" x14ac:dyDescent="0.25">
      <c r="A111" s="7"/>
      <c r="B111" s="26"/>
      <c r="E111" s="1"/>
      <c r="F111" s="25"/>
      <c r="G111" s="25"/>
      <c r="H111" s="25"/>
      <c r="I111" s="21"/>
      <c r="J111" s="90"/>
      <c r="K111" s="26"/>
    </row>
    <row r="112" spans="1:11" s="27" customFormat="1" x14ac:dyDescent="0.25">
      <c r="A112" s="7"/>
      <c r="B112" s="26"/>
      <c r="E112" s="1"/>
      <c r="F112" s="25"/>
      <c r="G112" s="25"/>
      <c r="H112" s="25"/>
      <c r="I112" s="21"/>
      <c r="J112" s="90"/>
      <c r="K112" s="26"/>
    </row>
    <row r="113" spans="1:11" s="12" customFormat="1" ht="12.75" x14ac:dyDescent="0.2">
      <c r="B113" s="13"/>
      <c r="E113" s="2"/>
      <c r="F113" s="14"/>
      <c r="J113" s="19"/>
      <c r="K113" s="13"/>
    </row>
    <row r="114" spans="1:11" s="12" customFormat="1" ht="12.75" x14ac:dyDescent="0.2">
      <c r="A114" s="77" t="str">
        <f>A66</f>
        <v>Carazinho, 31 de dezembro de 2.021</v>
      </c>
      <c r="B114" s="77"/>
      <c r="C114" s="77"/>
      <c r="D114" s="77"/>
      <c r="E114" s="77"/>
      <c r="F114" s="77"/>
      <c r="G114" s="77"/>
      <c r="H114" s="77"/>
      <c r="I114" s="77"/>
      <c r="J114" s="19"/>
      <c r="K114" s="13"/>
    </row>
    <row r="115" spans="1:11" s="12" customFormat="1" ht="12.75" x14ac:dyDescent="0.2">
      <c r="B115" s="13"/>
      <c r="E115" s="2"/>
      <c r="F115" s="14"/>
      <c r="J115" s="19"/>
      <c r="K115" s="13"/>
    </row>
    <row r="116" spans="1:11" s="12" customFormat="1" ht="12.75" x14ac:dyDescent="0.2">
      <c r="B116" s="13"/>
      <c r="E116" s="2"/>
      <c r="F116" s="14"/>
      <c r="J116" s="19"/>
      <c r="K116" s="13"/>
    </row>
    <row r="117" spans="1:11" s="12" customFormat="1" ht="12.75" x14ac:dyDescent="0.2">
      <c r="B117" s="13"/>
      <c r="C117" s="2" t="s">
        <v>221</v>
      </c>
      <c r="E117" s="2"/>
      <c r="F117" s="22"/>
      <c r="G117" s="77" t="s">
        <v>59</v>
      </c>
      <c r="H117" s="77"/>
      <c r="I117" s="6"/>
      <c r="J117" s="19"/>
      <c r="K117" s="13"/>
    </row>
    <row r="118" spans="1:11" s="12" customFormat="1" ht="12.75" x14ac:dyDescent="0.2">
      <c r="B118" s="13"/>
      <c r="C118" s="2" t="s">
        <v>222</v>
      </c>
      <c r="E118" s="2"/>
      <c r="F118" s="23"/>
      <c r="G118" s="77" t="s">
        <v>60</v>
      </c>
      <c r="H118" s="77"/>
      <c r="I118" s="6"/>
      <c r="J118" s="19"/>
      <c r="K118" s="13"/>
    </row>
    <row r="119" spans="1:11" s="12" customFormat="1" ht="12.75" x14ac:dyDescent="0.2">
      <c r="B119" s="13"/>
      <c r="C119" s="24" t="s">
        <v>223</v>
      </c>
      <c r="E119" s="2"/>
      <c r="F119" s="23"/>
      <c r="G119" s="77" t="s">
        <v>61</v>
      </c>
      <c r="H119" s="77"/>
      <c r="I119" s="6"/>
      <c r="J119" s="19"/>
      <c r="K119" s="13"/>
    </row>
    <row r="120" spans="1:11" s="12" customFormat="1" ht="12.75" x14ac:dyDescent="0.2">
      <c r="B120" s="13"/>
      <c r="E120" s="2"/>
      <c r="F120" s="14"/>
      <c r="J120" s="19"/>
      <c r="K120" s="13"/>
    </row>
    <row r="121" spans="1:11" s="12" customFormat="1" ht="12.75" x14ac:dyDescent="0.2">
      <c r="B121" s="13"/>
      <c r="E121" s="2"/>
      <c r="F121" s="14"/>
      <c r="J121" s="19"/>
      <c r="K121" s="13"/>
    </row>
    <row r="122" spans="1:11" s="12" customFormat="1" ht="12.75" x14ac:dyDescent="0.2">
      <c r="B122" s="13"/>
      <c r="E122" s="2"/>
      <c r="F122" s="14"/>
      <c r="J122" s="19"/>
      <c r="K122" s="13"/>
    </row>
    <row r="123" spans="1:11" s="12" customFormat="1" ht="12.75" x14ac:dyDescent="0.2">
      <c r="B123" s="13"/>
      <c r="E123" s="2"/>
      <c r="F123" s="28"/>
      <c r="G123" s="28"/>
      <c r="H123" s="28"/>
      <c r="I123" s="28"/>
      <c r="J123" s="91"/>
      <c r="K123" s="13"/>
    </row>
    <row r="124" spans="1:11" s="12" customFormat="1" ht="12.75" x14ac:dyDescent="0.2">
      <c r="B124" s="13"/>
      <c r="E124" s="2"/>
      <c r="F124" s="29"/>
      <c r="G124" s="29"/>
      <c r="H124" s="29"/>
      <c r="I124" s="29"/>
      <c r="J124" s="19"/>
      <c r="K124" s="13"/>
    </row>
    <row r="125" spans="1:11" s="12" customFormat="1" ht="12.75" x14ac:dyDescent="0.2">
      <c r="B125" s="13"/>
      <c r="E125" s="2"/>
      <c r="F125" s="14"/>
      <c r="J125" s="19"/>
      <c r="K125" s="13"/>
    </row>
    <row r="126" spans="1:11" s="12" customFormat="1" ht="12.75" x14ac:dyDescent="0.2">
      <c r="B126" s="13"/>
      <c r="E126" s="2"/>
      <c r="F126" s="14"/>
      <c r="J126" s="19"/>
      <c r="K126" s="13"/>
    </row>
    <row r="127" spans="1:11" s="12" customFormat="1" ht="12.75" x14ac:dyDescent="0.2">
      <c r="B127" s="13"/>
      <c r="E127" s="2"/>
      <c r="F127" s="14"/>
      <c r="J127" s="19"/>
      <c r="K127" s="13"/>
    </row>
    <row r="128" spans="1:11" s="12" customFormat="1" ht="12.75" x14ac:dyDescent="0.2">
      <c r="B128" s="13"/>
      <c r="E128" s="2"/>
      <c r="F128" s="14"/>
      <c r="J128" s="19"/>
      <c r="K128" s="13"/>
    </row>
    <row r="129" spans="2:11" s="12" customFormat="1" ht="12.75" x14ac:dyDescent="0.2">
      <c r="B129" s="13"/>
      <c r="E129" s="2"/>
      <c r="F129" s="14"/>
      <c r="J129" s="19"/>
      <c r="K129" s="13"/>
    </row>
    <row r="130" spans="2:11" s="12" customFormat="1" ht="12.75" x14ac:dyDescent="0.2">
      <c r="B130" s="13"/>
      <c r="E130" s="2"/>
      <c r="F130" s="14"/>
      <c r="J130" s="19"/>
      <c r="K130" s="13"/>
    </row>
    <row r="131" spans="2:11" s="12" customFormat="1" ht="12.75" x14ac:dyDescent="0.2">
      <c r="B131" s="13"/>
      <c r="E131" s="2"/>
      <c r="F131" s="14"/>
      <c r="J131" s="19"/>
      <c r="K131" s="13"/>
    </row>
    <row r="132" spans="2:11" s="12" customFormat="1" ht="12.75" x14ac:dyDescent="0.2">
      <c r="B132" s="13"/>
      <c r="E132" s="2"/>
      <c r="F132" s="14"/>
      <c r="J132" s="19"/>
      <c r="K132" s="13"/>
    </row>
    <row r="133" spans="2:11" s="12" customFormat="1" ht="12.75" x14ac:dyDescent="0.2">
      <c r="B133" s="13"/>
      <c r="E133" s="2"/>
      <c r="F133" s="14"/>
      <c r="J133" s="19"/>
      <c r="K133" s="13"/>
    </row>
    <row r="134" spans="2:11" s="12" customFormat="1" ht="12.75" x14ac:dyDescent="0.2">
      <c r="B134" s="13"/>
      <c r="E134" s="2"/>
      <c r="F134" s="14"/>
      <c r="J134" s="19"/>
      <c r="K134" s="13"/>
    </row>
    <row r="135" spans="2:11" s="12" customFormat="1" ht="12.75" x14ac:dyDescent="0.2">
      <c r="J135" s="19"/>
      <c r="K135" s="13"/>
    </row>
    <row r="136" spans="2:11" s="12" customFormat="1" ht="12.75" x14ac:dyDescent="0.2">
      <c r="B136" s="13"/>
      <c r="E136" s="2"/>
      <c r="F136" s="14"/>
      <c r="J136" s="19"/>
      <c r="K136" s="13"/>
    </row>
    <row r="137" spans="2:11" s="12" customFormat="1" ht="12.75" x14ac:dyDescent="0.2">
      <c r="B137" s="13"/>
      <c r="E137" s="2"/>
      <c r="F137" s="14"/>
      <c r="J137" s="19"/>
      <c r="K137" s="13"/>
    </row>
    <row r="138" spans="2:11" s="12" customFormat="1" ht="12.75" x14ac:dyDescent="0.2">
      <c r="E138" s="2"/>
      <c r="F138" s="14"/>
      <c r="I138" s="6"/>
      <c r="J138" s="19"/>
      <c r="K138" s="13"/>
    </row>
    <row r="139" spans="2:11" s="12" customFormat="1" ht="12.75" x14ac:dyDescent="0.2">
      <c r="E139" s="2"/>
      <c r="F139" s="14"/>
      <c r="I139" s="6"/>
      <c r="J139" s="19"/>
      <c r="K139" s="13"/>
    </row>
    <row r="140" spans="2:11" s="12" customFormat="1" ht="12.75" x14ac:dyDescent="0.2">
      <c r="E140" s="2"/>
      <c r="F140" s="14"/>
      <c r="I140" s="6"/>
      <c r="J140" s="19"/>
      <c r="K140" s="13"/>
    </row>
    <row r="141" spans="2:11" s="12" customFormat="1" ht="12.75" x14ac:dyDescent="0.2">
      <c r="B141" s="13"/>
      <c r="E141" s="2"/>
      <c r="F141" s="14"/>
      <c r="J141" s="19"/>
      <c r="K141" s="13"/>
    </row>
    <row r="142" spans="2:11" s="12" customFormat="1" ht="12.75" x14ac:dyDescent="0.2">
      <c r="B142" s="13"/>
      <c r="E142" s="2"/>
      <c r="F142" s="14"/>
      <c r="J142" s="19"/>
      <c r="K142" s="13"/>
    </row>
    <row r="143" spans="2:11" s="12" customFormat="1" ht="12.75" x14ac:dyDescent="0.2">
      <c r="B143" s="13"/>
      <c r="E143" s="2"/>
      <c r="F143" s="14"/>
      <c r="J143" s="19"/>
      <c r="K143" s="13"/>
    </row>
    <row r="144" spans="2:11" s="12" customFormat="1" ht="12.75" x14ac:dyDescent="0.2">
      <c r="B144" s="13"/>
      <c r="E144" s="2"/>
      <c r="F144" s="14"/>
      <c r="J144" s="19"/>
      <c r="K144" s="13"/>
    </row>
    <row r="145" spans="2:11" s="12" customFormat="1" ht="12.75" x14ac:dyDescent="0.2">
      <c r="B145" s="13"/>
      <c r="E145" s="2"/>
      <c r="F145" s="14"/>
      <c r="J145" s="19"/>
      <c r="K145" s="13"/>
    </row>
    <row r="146" spans="2:11" s="12" customFormat="1" ht="12.75" x14ac:dyDescent="0.2">
      <c r="B146" s="13"/>
      <c r="E146" s="2"/>
      <c r="F146" s="14"/>
      <c r="J146" s="19"/>
      <c r="K146" s="13"/>
    </row>
    <row r="147" spans="2:11" s="12" customFormat="1" ht="12.75" x14ac:dyDescent="0.2">
      <c r="B147" s="13"/>
      <c r="E147" s="2"/>
      <c r="F147" s="14"/>
      <c r="J147" s="19"/>
      <c r="K147" s="13"/>
    </row>
    <row r="148" spans="2:11" s="12" customFormat="1" ht="12.75" x14ac:dyDescent="0.2">
      <c r="B148" s="13"/>
      <c r="E148" s="2"/>
      <c r="F148" s="14"/>
      <c r="J148" s="19"/>
      <c r="K148" s="13"/>
    </row>
    <row r="149" spans="2:11" s="12" customFormat="1" ht="12.75" x14ac:dyDescent="0.2">
      <c r="B149" s="13"/>
      <c r="E149" s="2"/>
      <c r="F149" s="14"/>
      <c r="J149" s="19"/>
      <c r="K149" s="13"/>
    </row>
    <row r="150" spans="2:11" s="12" customFormat="1" ht="12.75" x14ac:dyDescent="0.2">
      <c r="B150" s="13"/>
      <c r="E150" s="2"/>
      <c r="F150" s="14"/>
      <c r="J150" s="19"/>
      <c r="K150" s="13"/>
    </row>
    <row r="151" spans="2:11" s="12" customFormat="1" ht="14.25" customHeight="1" x14ac:dyDescent="0.2">
      <c r="B151" s="13"/>
      <c r="E151" s="2"/>
      <c r="F151" s="14"/>
      <c r="J151" s="19"/>
      <c r="K151" s="13"/>
    </row>
    <row r="152" spans="2:11" s="12" customFormat="1" ht="14.25" customHeight="1" x14ac:dyDescent="0.2">
      <c r="B152" s="13"/>
      <c r="E152" s="2"/>
      <c r="F152" s="14"/>
      <c r="J152" s="19"/>
      <c r="K152" s="13"/>
    </row>
    <row r="153" spans="2:11" s="12" customFormat="1" ht="14.25" customHeight="1" x14ac:dyDescent="0.2">
      <c r="B153" s="13"/>
      <c r="E153" s="2"/>
      <c r="F153" s="14"/>
      <c r="J153" s="19"/>
      <c r="K153" s="13"/>
    </row>
    <row r="154" spans="2:11" s="12" customFormat="1" ht="14.25" customHeight="1" x14ac:dyDescent="0.2">
      <c r="B154" s="13"/>
      <c r="E154" s="2"/>
      <c r="F154" s="14"/>
      <c r="J154" s="19"/>
      <c r="K154" s="13"/>
    </row>
    <row r="155" spans="2:11" s="12" customFormat="1" ht="14.25" customHeight="1" x14ac:dyDescent="0.2">
      <c r="B155" s="13"/>
      <c r="E155" s="2"/>
      <c r="F155" s="14"/>
      <c r="J155" s="19"/>
      <c r="K155" s="13"/>
    </row>
    <row r="156" spans="2:11" s="12" customFormat="1" ht="14.25" customHeight="1" x14ac:dyDescent="0.2">
      <c r="B156" s="13"/>
      <c r="E156" s="2"/>
      <c r="F156" s="14"/>
      <c r="J156" s="19"/>
      <c r="K156" s="13"/>
    </row>
    <row r="157" spans="2:11" s="12" customFormat="1" ht="14.25" customHeight="1" x14ac:dyDescent="0.2">
      <c r="B157" s="13"/>
      <c r="E157" s="2"/>
      <c r="F157" s="14"/>
      <c r="J157" s="19"/>
      <c r="K157" s="13"/>
    </row>
    <row r="158" spans="2:11" s="12" customFormat="1" ht="14.25" customHeight="1" x14ac:dyDescent="0.2">
      <c r="B158" s="13"/>
      <c r="E158" s="2"/>
      <c r="F158" s="14"/>
      <c r="J158" s="19"/>
      <c r="K158" s="13"/>
    </row>
    <row r="159" spans="2:11" s="12" customFormat="1" ht="14.25" customHeight="1" x14ac:dyDescent="0.2">
      <c r="B159" s="13"/>
      <c r="E159" s="2"/>
      <c r="F159" s="14"/>
      <c r="J159" s="19"/>
      <c r="K159" s="13"/>
    </row>
    <row r="160" spans="2:11" s="12" customFormat="1" ht="14.25" customHeight="1" x14ac:dyDescent="0.2">
      <c r="B160" s="13"/>
      <c r="E160" s="2"/>
      <c r="F160" s="14"/>
      <c r="J160" s="19"/>
      <c r="K160" s="13"/>
    </row>
    <row r="161" spans="1:11" s="12" customFormat="1" ht="14.25" customHeight="1" x14ac:dyDescent="0.2">
      <c r="B161" s="13"/>
      <c r="E161" s="2"/>
      <c r="F161" s="14"/>
      <c r="J161" s="19"/>
      <c r="K161" s="13"/>
    </row>
    <row r="162" spans="1:11" s="12" customFormat="1" ht="14.25" customHeight="1" x14ac:dyDescent="0.2">
      <c r="B162" s="13"/>
      <c r="E162" s="2"/>
      <c r="F162" s="14"/>
      <c r="J162" s="19"/>
      <c r="K162" s="13"/>
    </row>
    <row r="163" spans="1:11" s="12" customFormat="1" ht="14.25" customHeight="1" x14ac:dyDescent="0.2">
      <c r="B163" s="13"/>
      <c r="E163" s="2"/>
      <c r="F163" s="14"/>
      <c r="J163" s="19"/>
      <c r="K163" s="13"/>
    </row>
    <row r="164" spans="1:11" s="12" customFormat="1" ht="14.25" customHeight="1" x14ac:dyDescent="0.2">
      <c r="B164" s="13"/>
      <c r="E164" s="2"/>
      <c r="F164" s="14"/>
      <c r="J164" s="19"/>
      <c r="K164" s="13"/>
    </row>
    <row r="165" spans="1:11" s="12" customFormat="1" ht="14.25" customHeight="1" x14ac:dyDescent="0.2">
      <c r="B165" s="13"/>
      <c r="E165" s="2"/>
      <c r="F165" s="14"/>
      <c r="J165" s="19"/>
      <c r="K165" s="13"/>
    </row>
    <row r="166" spans="1:11" s="12" customFormat="1" ht="14.25" customHeight="1" x14ac:dyDescent="0.2">
      <c r="B166" s="13"/>
      <c r="E166" s="2"/>
      <c r="F166" s="14"/>
      <c r="J166" s="19"/>
      <c r="K166" s="13"/>
    </row>
    <row r="167" spans="1:11" s="12" customFormat="1" ht="18" x14ac:dyDescent="0.25">
      <c r="A167" s="78" t="s">
        <v>0</v>
      </c>
      <c r="B167" s="78"/>
      <c r="C167" s="78"/>
      <c r="D167" s="78"/>
      <c r="E167" s="78"/>
      <c r="F167" s="78"/>
      <c r="G167" s="78"/>
      <c r="H167" s="78"/>
      <c r="I167" s="78"/>
      <c r="J167" s="19"/>
      <c r="K167" s="13"/>
    </row>
    <row r="168" spans="1:11" s="12" customFormat="1" ht="14.25" x14ac:dyDescent="0.2">
      <c r="A168" s="79" t="s">
        <v>1</v>
      </c>
      <c r="B168" s="79"/>
      <c r="C168" s="79"/>
      <c r="D168" s="79"/>
      <c r="E168" s="79"/>
      <c r="F168" s="79"/>
      <c r="G168" s="79"/>
      <c r="H168" s="79"/>
      <c r="I168" s="79"/>
      <c r="J168" s="19"/>
      <c r="K168" s="13"/>
    </row>
    <row r="169" spans="1:11" s="12" customFormat="1" ht="14.2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9"/>
      <c r="K169" s="13"/>
    </row>
    <row r="170" spans="1:11" s="94" customFormat="1" ht="15.75" x14ac:dyDescent="0.25">
      <c r="A170" s="75" t="s">
        <v>83</v>
      </c>
      <c r="B170" s="75"/>
      <c r="C170" s="75"/>
      <c r="D170" s="75"/>
      <c r="E170" s="75"/>
      <c r="F170" s="75"/>
      <c r="G170" s="75"/>
      <c r="H170" s="75"/>
      <c r="I170" s="75"/>
      <c r="J170" s="92"/>
      <c r="K170" s="93"/>
    </row>
    <row r="171" spans="1:11" s="12" customFormat="1" ht="12.75" x14ac:dyDescent="0.2">
      <c r="B171" s="13"/>
      <c r="E171" s="2"/>
      <c r="F171" s="14"/>
      <c r="J171" s="19"/>
      <c r="K171" s="13"/>
    </row>
    <row r="172" spans="1:11" s="12" customFormat="1" x14ac:dyDescent="0.25">
      <c r="B172" s="13"/>
      <c r="E172" s="2"/>
      <c r="F172" s="5">
        <v>44561</v>
      </c>
      <c r="G172" s="6" t="s">
        <v>4</v>
      </c>
      <c r="H172" s="5">
        <v>44196</v>
      </c>
      <c r="I172" s="6" t="s">
        <v>4</v>
      </c>
      <c r="J172" s="19"/>
      <c r="K172" s="13"/>
    </row>
    <row r="173" spans="1:11" s="7" customFormat="1" x14ac:dyDescent="0.25">
      <c r="A173" s="30"/>
      <c r="B173" s="25"/>
      <c r="E173" s="4"/>
      <c r="F173" s="25"/>
      <c r="G173" s="6"/>
      <c r="H173" s="25"/>
      <c r="I173" s="6"/>
      <c r="J173" s="87"/>
      <c r="K173" s="25"/>
    </row>
    <row r="174" spans="1:11" s="7" customFormat="1" x14ac:dyDescent="0.25">
      <c r="A174" s="7" t="s">
        <v>84</v>
      </c>
      <c r="F174" s="31">
        <f>F176+F177+F178+F183+F186+F185</f>
        <v>55639556.270000003</v>
      </c>
      <c r="G174" s="10">
        <f>F174/F174*100</f>
        <v>100</v>
      </c>
      <c r="H174" s="31">
        <f>H176+H177+H178+H183+H186+H185</f>
        <v>44774936.539999999</v>
      </c>
      <c r="I174" s="10">
        <f>H174/H174*100</f>
        <v>100</v>
      </c>
      <c r="J174" s="87"/>
      <c r="K174" s="25"/>
    </row>
    <row r="175" spans="1:11" s="7" customFormat="1" x14ac:dyDescent="0.25">
      <c r="A175" s="7" t="s">
        <v>85</v>
      </c>
      <c r="F175" s="31">
        <f>F176+F177+F178+F183+F185</f>
        <v>30155551.18</v>
      </c>
      <c r="G175" s="10"/>
      <c r="H175" s="31">
        <f>H176+H177+H178+H183+H185</f>
        <v>26331272.049999997</v>
      </c>
      <c r="I175" s="10"/>
      <c r="J175" s="87"/>
      <c r="K175" s="25"/>
    </row>
    <row r="176" spans="1:11" s="12" customFormat="1" ht="14.25" x14ac:dyDescent="0.2">
      <c r="A176" s="27"/>
      <c r="B176" s="19" t="s">
        <v>86</v>
      </c>
      <c r="F176" s="24">
        <f>[1]Plan4!M158</f>
        <v>13845793</v>
      </c>
      <c r="G176" s="13">
        <f>F176/F$174*100</f>
        <v>24.884801260475616</v>
      </c>
      <c r="H176" s="24">
        <v>12561762.6</v>
      </c>
      <c r="I176" s="13">
        <f>H176/H$174*100</f>
        <v>28.055344285698457</v>
      </c>
      <c r="J176" s="19"/>
      <c r="K176" s="13"/>
    </row>
    <row r="177" spans="1:15" s="12" customFormat="1" ht="14.25" x14ac:dyDescent="0.2">
      <c r="A177" s="27"/>
      <c r="B177" s="19" t="s">
        <v>87</v>
      </c>
      <c r="F177" s="24">
        <f>[1]Plan4!M159</f>
        <v>2047254.1</v>
      </c>
      <c r="G177" s="13">
        <f>F177/F$174*100</f>
        <v>3.6794939378476825</v>
      </c>
      <c r="H177" s="24">
        <v>1886210.12</v>
      </c>
      <c r="I177" s="13">
        <f>H177/H$174*100</f>
        <v>4.2126472213197692</v>
      </c>
      <c r="J177" s="19"/>
      <c r="K177" s="13"/>
    </row>
    <row r="178" spans="1:15" s="12" customFormat="1" ht="14.25" x14ac:dyDescent="0.2">
      <c r="A178" s="27"/>
      <c r="B178" s="12" t="s">
        <v>88</v>
      </c>
      <c r="F178" s="24">
        <f>SUM(F179:F182)</f>
        <v>10483142.970000001</v>
      </c>
      <c r="G178" s="13">
        <f>F178/F$174*100</f>
        <v>18.841169255787811</v>
      </c>
      <c r="H178" s="24">
        <f>SUM(H179:H182)</f>
        <v>8121538.8799999999</v>
      </c>
      <c r="I178" s="13">
        <f>H178/H$174*100</f>
        <v>18.138582670562954</v>
      </c>
      <c r="J178" s="95"/>
      <c r="K178" s="13"/>
      <c r="M178" s="13"/>
      <c r="O178" s="13"/>
    </row>
    <row r="179" spans="1:15" s="12" customFormat="1" ht="14.25" x14ac:dyDescent="0.2">
      <c r="A179" s="27"/>
      <c r="C179" s="12" t="s">
        <v>89</v>
      </c>
      <c r="F179" s="24">
        <f>[1]Plan4!M161</f>
        <v>3676244.9</v>
      </c>
      <c r="G179" s="13"/>
      <c r="H179" s="24">
        <v>2920079.61</v>
      </c>
      <c r="I179" s="13"/>
      <c r="J179" s="95"/>
      <c r="K179" s="13"/>
    </row>
    <row r="180" spans="1:15" s="12" customFormat="1" ht="14.25" x14ac:dyDescent="0.2">
      <c r="A180" s="27"/>
      <c r="C180" s="12" t="s">
        <v>90</v>
      </c>
      <c r="F180" s="24">
        <f>[1]Plan4!M162</f>
        <v>3570040.16</v>
      </c>
      <c r="G180" s="13"/>
      <c r="H180" s="24">
        <v>1849138.36</v>
      </c>
      <c r="I180" s="13"/>
      <c r="J180" s="95"/>
      <c r="K180" s="13"/>
    </row>
    <row r="181" spans="1:15" s="12" customFormat="1" ht="14.25" x14ac:dyDescent="0.2">
      <c r="A181" s="27"/>
      <c r="C181" s="12" t="s">
        <v>91</v>
      </c>
      <c r="F181" s="24">
        <f>[1]Plan4!M163</f>
        <v>1802869.55</v>
      </c>
      <c r="G181" s="13"/>
      <c r="H181" s="24">
        <v>2103713.5299999998</v>
      </c>
      <c r="I181" s="13"/>
      <c r="J181" s="95"/>
      <c r="K181" s="13"/>
    </row>
    <row r="182" spans="1:15" s="12" customFormat="1" ht="14.25" x14ac:dyDescent="0.2">
      <c r="A182" s="27"/>
      <c r="C182" s="12" t="s">
        <v>92</v>
      </c>
      <c r="F182" s="24">
        <f>[1]Plan4!M164</f>
        <v>1433988.36</v>
      </c>
      <c r="G182" s="13"/>
      <c r="H182" s="24">
        <v>1248607.3799999999</v>
      </c>
      <c r="I182" s="13"/>
      <c r="J182" s="19"/>
      <c r="K182" s="13"/>
    </row>
    <row r="183" spans="1:15" s="12" customFormat="1" ht="14.25" x14ac:dyDescent="0.2">
      <c r="A183" s="27"/>
      <c r="B183" s="12" t="s">
        <v>93</v>
      </c>
      <c r="F183" s="24">
        <f>[1]Plan4!M165</f>
        <v>2748147.8</v>
      </c>
      <c r="G183" s="13">
        <f>F183/F$174*100</f>
        <v>4.9391979092431386</v>
      </c>
      <c r="H183" s="24">
        <v>2471704.6800000002</v>
      </c>
      <c r="I183" s="13">
        <f>H183/H$174*100</f>
        <v>5.5202862829116146</v>
      </c>
      <c r="J183" s="19"/>
      <c r="K183" s="13"/>
    </row>
    <row r="184" spans="1:15" s="12" customFormat="1" ht="14.25" x14ac:dyDescent="0.2">
      <c r="A184" s="27"/>
      <c r="B184" s="12" t="s">
        <v>94</v>
      </c>
      <c r="F184" s="24">
        <f>[1]Plan4!M166</f>
        <v>-87302.9</v>
      </c>
      <c r="G184" s="13">
        <f>F184/F$174*100</f>
        <v>-0.15690797312679575</v>
      </c>
      <c r="H184" s="24">
        <v>-43361.2</v>
      </c>
      <c r="I184" s="13">
        <f>H184/H$174*100</f>
        <v>-9.6842571650018916E-2</v>
      </c>
      <c r="J184" s="19"/>
      <c r="K184" s="13"/>
    </row>
    <row r="185" spans="1:15" s="12" customFormat="1" ht="14.25" x14ac:dyDescent="0.2">
      <c r="A185" s="27"/>
      <c r="B185" s="12" t="s">
        <v>95</v>
      </c>
      <c r="F185" s="24">
        <f>[1]Plan4!M169</f>
        <v>1031213.31</v>
      </c>
      <c r="G185" s="13">
        <f>F185/F$174*100</f>
        <v>1.853381621154327</v>
      </c>
      <c r="H185" s="24">
        <v>1290055.77</v>
      </c>
      <c r="I185" s="13">
        <f>H185/H$174*100</f>
        <v>2.8812006664655341</v>
      </c>
      <c r="J185" s="19"/>
      <c r="K185" s="13"/>
    </row>
    <row r="186" spans="1:15" s="12" customFormat="1" x14ac:dyDescent="0.25">
      <c r="A186" s="7" t="s">
        <v>96</v>
      </c>
      <c r="B186" s="14"/>
      <c r="C186" s="14"/>
      <c r="D186" s="14"/>
      <c r="E186" s="14"/>
      <c r="F186" s="10">
        <f>F187</f>
        <v>25484005.09</v>
      </c>
      <c r="G186" s="13">
        <f>F186/F$174*100</f>
        <v>45.80195601549142</v>
      </c>
      <c r="H186" s="10">
        <f>H187</f>
        <v>18443664.489999998</v>
      </c>
      <c r="I186" s="13">
        <f>H186/H$174*100</f>
        <v>41.191938873041664</v>
      </c>
      <c r="J186" s="19"/>
      <c r="K186" s="13"/>
    </row>
    <row r="187" spans="1:15" s="12" customFormat="1" ht="14.25" x14ac:dyDescent="0.2">
      <c r="A187" s="27"/>
      <c r="B187" s="12" t="s">
        <v>97</v>
      </c>
      <c r="F187" s="24">
        <f>[1]Plan4!M168</f>
        <v>25484005.09</v>
      </c>
      <c r="G187" s="13"/>
      <c r="H187" s="24">
        <v>18443664.489999998</v>
      </c>
      <c r="I187" s="13"/>
      <c r="J187" s="19"/>
      <c r="K187" s="13"/>
    </row>
    <row r="188" spans="1:15" s="14" customFormat="1" x14ac:dyDescent="0.25">
      <c r="A188" s="7" t="s">
        <v>98</v>
      </c>
      <c r="F188" s="31">
        <f>F174+F184</f>
        <v>55552253.370000005</v>
      </c>
      <c r="G188" s="13">
        <f>F188/F$174*100</f>
        <v>99.843092026873208</v>
      </c>
      <c r="H188" s="31">
        <f>H174+H184</f>
        <v>44731575.339999996</v>
      </c>
      <c r="I188" s="13">
        <f>H188/H$174*100</f>
        <v>99.903157428349971</v>
      </c>
      <c r="J188" s="91"/>
      <c r="K188" s="9"/>
    </row>
    <row r="189" spans="1:15" s="27" customFormat="1" x14ac:dyDescent="0.25">
      <c r="A189" s="7" t="s">
        <v>99</v>
      </c>
      <c r="B189" s="7"/>
      <c r="C189" s="7"/>
      <c r="D189" s="7"/>
      <c r="E189" s="7"/>
      <c r="F189" s="31">
        <f>F190+F193+F196+F197+F198+F199</f>
        <v>59155217.399999991</v>
      </c>
      <c r="G189" s="9">
        <f>F189/F$174*100</f>
        <v>106.31863617484596</v>
      </c>
      <c r="H189" s="31">
        <f>H190+H193+H196+H197+H198+H199</f>
        <v>47794875.399999999</v>
      </c>
      <c r="I189" s="9">
        <f>H189/H$174*100</f>
        <v>106.74470829746932</v>
      </c>
      <c r="J189" s="90"/>
      <c r="K189" s="26"/>
    </row>
    <row r="190" spans="1:15" s="12" customFormat="1" ht="14.25" x14ac:dyDescent="0.2">
      <c r="A190" s="27"/>
      <c r="B190" s="14" t="s">
        <v>100</v>
      </c>
      <c r="C190" s="14"/>
      <c r="D190" s="14"/>
      <c r="E190" s="14"/>
      <c r="F190" s="10">
        <f>F191+F192</f>
        <v>20989366.100000001</v>
      </c>
      <c r="G190" s="9">
        <f>F190/F$174*100</f>
        <v>37.723820078912354</v>
      </c>
      <c r="H190" s="10">
        <f>H191+H192</f>
        <v>17723277.140000001</v>
      </c>
      <c r="I190" s="9">
        <f>H190/H$174*100</f>
        <v>39.583031288423577</v>
      </c>
      <c r="J190" s="19"/>
      <c r="K190" s="13"/>
    </row>
    <row r="191" spans="1:15" s="12" customFormat="1" ht="14.25" x14ac:dyDescent="0.2">
      <c r="A191" s="27"/>
      <c r="C191" s="12" t="s">
        <v>101</v>
      </c>
      <c r="F191" s="24">
        <f>[1]Plan4!M173</f>
        <v>19367125.170000002</v>
      </c>
      <c r="G191" s="13"/>
      <c r="H191" s="24">
        <v>16287042.140000001</v>
      </c>
      <c r="I191" s="13"/>
      <c r="J191" s="19"/>
      <c r="K191" s="13"/>
    </row>
    <row r="192" spans="1:15" s="14" customFormat="1" x14ac:dyDescent="0.25">
      <c r="A192" s="7"/>
      <c r="C192" s="12" t="s">
        <v>102</v>
      </c>
      <c r="D192" s="12"/>
      <c r="E192" s="12"/>
      <c r="F192" s="24">
        <f>[1]Plan4!M174</f>
        <v>1622240.93</v>
      </c>
      <c r="G192" s="13"/>
      <c r="H192" s="24">
        <v>1436235</v>
      </c>
      <c r="I192" s="13"/>
      <c r="J192" s="91"/>
      <c r="K192" s="9"/>
    </row>
    <row r="193" spans="1:13" s="12" customFormat="1" ht="14.25" x14ac:dyDescent="0.2">
      <c r="A193" s="27"/>
      <c r="B193" s="14" t="s">
        <v>103</v>
      </c>
      <c r="C193" s="14"/>
      <c r="D193" s="14"/>
      <c r="E193" s="14"/>
      <c r="F193" s="10">
        <f>F194+F195</f>
        <v>18527605.199999999</v>
      </c>
      <c r="G193" s="9">
        <f>F193/F$174*100</f>
        <v>33.299340329192738</v>
      </c>
      <c r="H193" s="10">
        <f>H194+H195</f>
        <v>15553505.9</v>
      </c>
      <c r="I193" s="9">
        <f>H193/H$174*100</f>
        <v>34.737080835625903</v>
      </c>
      <c r="J193" s="19"/>
      <c r="K193" s="13"/>
    </row>
    <row r="194" spans="1:13" s="12" customFormat="1" ht="14.25" x14ac:dyDescent="0.2">
      <c r="A194" s="27"/>
      <c r="C194" s="12" t="s">
        <v>104</v>
      </c>
      <c r="F194" s="24">
        <f>[1]Plan4!M176</f>
        <v>16007330.98</v>
      </c>
      <c r="G194" s="13"/>
      <c r="H194" s="24">
        <v>6817563.8499999996</v>
      </c>
      <c r="I194" s="13"/>
      <c r="J194" s="19"/>
      <c r="K194" s="13"/>
    </row>
    <row r="195" spans="1:13" s="14" customFormat="1" x14ac:dyDescent="0.25">
      <c r="A195" s="7"/>
      <c r="C195" s="12" t="s">
        <v>105</v>
      </c>
      <c r="D195" s="12"/>
      <c r="E195" s="12"/>
      <c r="F195" s="24">
        <f>[1]Plan4!M177</f>
        <v>2520274.2200000002</v>
      </c>
      <c r="G195" s="13"/>
      <c r="H195" s="24">
        <v>8735942.0500000007</v>
      </c>
      <c r="I195" s="13"/>
      <c r="J195" s="91"/>
      <c r="K195" s="9"/>
    </row>
    <row r="196" spans="1:13" s="12" customFormat="1" ht="14.25" x14ac:dyDescent="0.2">
      <c r="A196" s="27"/>
      <c r="B196" s="14" t="s">
        <v>106</v>
      </c>
      <c r="C196" s="14"/>
      <c r="D196" s="14"/>
      <c r="E196" s="14"/>
      <c r="F196" s="10">
        <f>[1]Plan4!M178</f>
        <v>14097185.119999999</v>
      </c>
      <c r="G196" s="9">
        <f>F196/F$174*100</f>
        <v>25.336623914811817</v>
      </c>
      <c r="H196" s="10">
        <v>10250523.33</v>
      </c>
      <c r="I196" s="9">
        <f>H196/H$174*100</f>
        <v>22.893440219267813</v>
      </c>
      <c r="J196" s="19"/>
      <c r="K196" s="13"/>
    </row>
    <row r="197" spans="1:13" s="14" customFormat="1" x14ac:dyDescent="0.25">
      <c r="A197" s="7"/>
      <c r="B197" s="14" t="s">
        <v>107</v>
      </c>
      <c r="F197" s="10">
        <f>[1]Plan4!M179</f>
        <v>1810801.6</v>
      </c>
      <c r="G197" s="9">
        <f>F197/F$174*100</f>
        <v>3.2545220008815141</v>
      </c>
      <c r="H197" s="10">
        <v>1212761.3799999999</v>
      </c>
      <c r="I197" s="9">
        <f>H197/H$174*100</f>
        <v>2.7085719684193656</v>
      </c>
      <c r="J197" s="91"/>
      <c r="K197" s="9"/>
    </row>
    <row r="198" spans="1:13" s="12" customFormat="1" ht="14.25" x14ac:dyDescent="0.2">
      <c r="A198" s="27"/>
      <c r="B198" s="14" t="s">
        <v>108</v>
      </c>
      <c r="C198" s="14"/>
      <c r="D198" s="14"/>
      <c r="E198" s="14"/>
      <c r="F198" s="10">
        <f>[1]Plan4!M180</f>
        <v>437691.08</v>
      </c>
      <c r="G198" s="9">
        <f>F198/F$174*100</f>
        <v>0.78665451226108429</v>
      </c>
      <c r="H198" s="10">
        <v>336315.11</v>
      </c>
      <c r="I198" s="9">
        <f>H198/H$174*100</f>
        <v>0.75112358830380599</v>
      </c>
      <c r="J198" s="19"/>
      <c r="K198" s="13"/>
    </row>
    <row r="199" spans="1:13" s="12" customFormat="1" ht="14.25" x14ac:dyDescent="0.2">
      <c r="A199" s="27"/>
      <c r="B199" s="14" t="s">
        <v>109</v>
      </c>
      <c r="C199" s="14"/>
      <c r="D199" s="14"/>
      <c r="E199" s="14"/>
      <c r="F199" s="10">
        <f>F200+F201+F204+F205+F202+F203</f>
        <v>3292568.3</v>
      </c>
      <c r="G199" s="9">
        <f>F199/F$174*100</f>
        <v>5.9176753387864496</v>
      </c>
      <c r="H199" s="10">
        <f>H200+H201+H204+H205+H202+H203</f>
        <v>2718492.54</v>
      </c>
      <c r="I199" s="9">
        <f>H199/H$174*100</f>
        <v>6.0714603974288517</v>
      </c>
      <c r="J199" s="19"/>
      <c r="K199" s="13"/>
    </row>
    <row r="200" spans="1:13" s="14" customFormat="1" x14ac:dyDescent="0.25">
      <c r="A200" s="7"/>
      <c r="C200" s="12" t="s">
        <v>110</v>
      </c>
      <c r="D200" s="12"/>
      <c r="E200" s="12"/>
      <c r="F200" s="24">
        <f>[1]Plan4!M182</f>
        <v>1234791.6200000001</v>
      </c>
      <c r="G200" s="9"/>
      <c r="H200" s="24">
        <v>998003.96</v>
      </c>
      <c r="I200" s="9"/>
      <c r="J200" s="91"/>
      <c r="K200" s="9"/>
    </row>
    <row r="201" spans="1:13" s="14" customFormat="1" x14ac:dyDescent="0.25">
      <c r="A201" s="7"/>
      <c r="C201" s="12" t="s">
        <v>111</v>
      </c>
      <c r="D201" s="12"/>
      <c r="E201" s="12"/>
      <c r="F201" s="24">
        <f>[1]Plan4!M183</f>
        <v>9117.9599999999991</v>
      </c>
      <c r="G201" s="13"/>
      <c r="H201" s="24">
        <v>7180.06</v>
      </c>
      <c r="I201" s="13"/>
      <c r="J201" s="91"/>
      <c r="K201" s="9"/>
    </row>
    <row r="202" spans="1:13" s="14" customFormat="1" x14ac:dyDescent="0.25">
      <c r="A202" s="7"/>
      <c r="C202" s="12" t="s">
        <v>112</v>
      </c>
      <c r="D202" s="12"/>
      <c r="E202" s="12"/>
      <c r="F202" s="24">
        <v>1470402.38</v>
      </c>
      <c r="G202" s="13"/>
      <c r="H202" s="24">
        <v>1041020.81</v>
      </c>
      <c r="I202" s="13"/>
      <c r="J202" s="91"/>
      <c r="K202" s="9"/>
      <c r="M202" s="29"/>
    </row>
    <row r="203" spans="1:13" s="14" customFormat="1" x14ac:dyDescent="0.25">
      <c r="A203" s="7"/>
      <c r="C203" s="12" t="s">
        <v>113</v>
      </c>
      <c r="D203" s="12"/>
      <c r="E203" s="12"/>
      <c r="F203" s="24">
        <v>345356.03</v>
      </c>
      <c r="G203" s="13"/>
      <c r="H203" s="24">
        <v>407969.21</v>
      </c>
      <c r="I203" s="13"/>
      <c r="J203" s="91"/>
      <c r="K203" s="9"/>
    </row>
    <row r="204" spans="1:13" s="12" customFormat="1" ht="14.25" x14ac:dyDescent="0.2">
      <c r="A204" s="27"/>
      <c r="C204" s="12" t="s">
        <v>114</v>
      </c>
      <c r="F204" s="24">
        <v>216935.29</v>
      </c>
      <c r="G204" s="13"/>
      <c r="H204" s="24">
        <v>252532.5</v>
      </c>
      <c r="I204" s="13"/>
      <c r="J204" s="19"/>
      <c r="K204" s="13"/>
    </row>
    <row r="205" spans="1:13" s="12" customFormat="1" ht="14.25" x14ac:dyDescent="0.2">
      <c r="A205" s="27"/>
      <c r="C205" s="12" t="s">
        <v>115</v>
      </c>
      <c r="F205" s="24">
        <f>1072.34+618.85+14273.83</f>
        <v>15965.02</v>
      </c>
      <c r="G205" s="13"/>
      <c r="H205" s="24">
        <v>11786</v>
      </c>
      <c r="I205" s="13"/>
      <c r="J205" s="19"/>
      <c r="K205" s="13"/>
    </row>
    <row r="206" spans="1:13" s="7" customFormat="1" x14ac:dyDescent="0.25">
      <c r="A206" s="7" t="s">
        <v>116</v>
      </c>
      <c r="F206" s="31">
        <f>F188-F189</f>
        <v>-3602964.0299999863</v>
      </c>
      <c r="G206" s="9">
        <f>F206/F$174*100</f>
        <v>-6.4755441479727418</v>
      </c>
      <c r="H206" s="31">
        <f>H188-H189</f>
        <v>-3063300.0600000024</v>
      </c>
      <c r="I206" s="9">
        <f>H206/H$174*100</f>
        <v>-6.8415508691193399</v>
      </c>
      <c r="J206" s="87"/>
      <c r="K206" s="25"/>
    </row>
    <row r="207" spans="1:13" s="7" customFormat="1" x14ac:dyDescent="0.25">
      <c r="A207" s="7" t="s">
        <v>117</v>
      </c>
      <c r="F207" s="31">
        <f>[3]Plan2!$F$21</f>
        <v>5034867.0989399999</v>
      </c>
      <c r="G207" s="9"/>
      <c r="H207" s="31">
        <f>[4]Plan2!$F$21</f>
        <v>4414989.5766599998</v>
      </c>
      <c r="I207" s="9"/>
      <c r="J207" s="87"/>
      <c r="K207" s="25"/>
    </row>
    <row r="208" spans="1:13" s="7" customFormat="1" x14ac:dyDescent="0.25">
      <c r="A208" s="7" t="s">
        <v>118</v>
      </c>
      <c r="F208" s="31">
        <f>-F207</f>
        <v>-5034867.0989399999</v>
      </c>
      <c r="G208" s="9"/>
      <c r="H208" s="31">
        <f>-H207</f>
        <v>-4414989.5766599998</v>
      </c>
      <c r="I208" s="9"/>
      <c r="J208" s="87"/>
      <c r="K208" s="25"/>
    </row>
    <row r="209" spans="1:14" s="7" customFormat="1" x14ac:dyDescent="0.25">
      <c r="A209" s="7" t="s">
        <v>119</v>
      </c>
      <c r="F209" s="31">
        <f>SUM(F210:F217)</f>
        <v>5843162.4199999999</v>
      </c>
      <c r="G209" s="9">
        <f>F209/F$174*100</f>
        <v>10.501813478966481</v>
      </c>
      <c r="H209" s="31">
        <f>SUM(H210:H217)</f>
        <v>5994395.6700000009</v>
      </c>
      <c r="I209" s="9">
        <f>H209/H$174*100</f>
        <v>13.387837333158176</v>
      </c>
      <c r="J209" s="87"/>
      <c r="K209" s="25"/>
    </row>
    <row r="210" spans="1:14" s="12" customFormat="1" ht="14.25" x14ac:dyDescent="0.2">
      <c r="A210" s="27"/>
      <c r="B210" s="12" t="s">
        <v>120</v>
      </c>
      <c r="F210" s="24">
        <f>[1]Plan4!M191</f>
        <v>48706.3</v>
      </c>
      <c r="G210" s="9"/>
      <c r="H210" s="24">
        <v>49204.32</v>
      </c>
      <c r="I210" s="9"/>
      <c r="J210" s="19"/>
      <c r="K210" s="13"/>
    </row>
    <row r="211" spans="1:14" s="12" customFormat="1" ht="14.25" x14ac:dyDescent="0.2">
      <c r="A211" s="27"/>
      <c r="B211" s="12" t="s">
        <v>224</v>
      </c>
      <c r="F211" s="24">
        <f>[1]Plan4!O171</f>
        <v>416913.11000000004</v>
      </c>
      <c r="G211" s="9"/>
      <c r="H211" s="24">
        <v>1166475.6299999999</v>
      </c>
      <c r="I211" s="9"/>
      <c r="J211" s="19"/>
      <c r="K211" s="13"/>
    </row>
    <row r="212" spans="1:14" s="12" customFormat="1" ht="14.25" x14ac:dyDescent="0.2">
      <c r="A212" s="27"/>
      <c r="B212" s="12" t="s">
        <v>121</v>
      </c>
      <c r="F212" s="24">
        <f>[1]Plan4!M192-'[1]balanço e dre '!F211</f>
        <v>673087.39999999991</v>
      </c>
      <c r="G212" s="13"/>
      <c r="H212" s="24">
        <f>1285007.71-1166475.63</f>
        <v>118532.08000000007</v>
      </c>
      <c r="I212" s="13"/>
      <c r="J212" s="19"/>
      <c r="K212" s="13"/>
    </row>
    <row r="213" spans="1:14" s="12" customFormat="1" ht="14.25" x14ac:dyDescent="0.2">
      <c r="A213" s="27"/>
      <c r="B213" s="12" t="s">
        <v>122</v>
      </c>
      <c r="F213" s="24">
        <f>[1]Plan4!M193</f>
        <v>2443081.13</v>
      </c>
      <c r="G213" s="13"/>
      <c r="H213" s="24">
        <v>2868033.1</v>
      </c>
      <c r="I213" s="13"/>
      <c r="J213" s="19"/>
      <c r="K213" s="13"/>
    </row>
    <row r="214" spans="1:14" s="12" customFormat="1" ht="14.25" x14ac:dyDescent="0.2">
      <c r="A214" s="27"/>
      <c r="B214" s="76" t="s">
        <v>123</v>
      </c>
      <c r="C214" s="76"/>
      <c r="D214" s="76"/>
      <c r="F214" s="24">
        <v>1138341.1299999999</v>
      </c>
      <c r="G214" s="13"/>
      <c r="H214" s="24">
        <v>923333.12</v>
      </c>
      <c r="I214" s="13"/>
      <c r="J214" s="19"/>
      <c r="K214" s="13"/>
    </row>
    <row r="215" spans="1:14" s="12" customFormat="1" ht="14.25" x14ac:dyDescent="0.2">
      <c r="A215" s="27"/>
      <c r="B215" s="12" t="s">
        <v>124</v>
      </c>
      <c r="D215" s="22"/>
      <c r="F215" s="24">
        <v>0</v>
      </c>
      <c r="G215" s="13"/>
      <c r="H215" s="24">
        <v>317161.40000000002</v>
      </c>
      <c r="I215" s="13"/>
      <c r="J215" s="19"/>
      <c r="K215" s="13"/>
    </row>
    <row r="216" spans="1:14" s="12" customFormat="1" ht="14.25" x14ac:dyDescent="0.2">
      <c r="A216" s="27"/>
      <c r="B216" s="12" t="s">
        <v>125</v>
      </c>
      <c r="D216" s="22"/>
      <c r="F216" s="24">
        <v>431116.85</v>
      </c>
      <c r="G216" s="13"/>
      <c r="H216" s="24">
        <v>301251.83</v>
      </c>
      <c r="I216" s="13"/>
      <c r="J216" s="19"/>
      <c r="K216" s="13"/>
    </row>
    <row r="217" spans="1:14" s="12" customFormat="1" ht="14.25" x14ac:dyDescent="0.2">
      <c r="A217" s="27"/>
      <c r="B217" s="12" t="s">
        <v>126</v>
      </c>
      <c r="F217" s="24">
        <v>691916.5</v>
      </c>
      <c r="G217" s="9"/>
      <c r="H217" s="24">
        <v>250404.19</v>
      </c>
      <c r="I217" s="9"/>
      <c r="J217" s="19"/>
      <c r="K217" s="13"/>
    </row>
    <row r="218" spans="1:14" s="7" customFormat="1" x14ac:dyDescent="0.25">
      <c r="A218" s="7" t="s">
        <v>127</v>
      </c>
      <c r="F218" s="31">
        <f>F219</f>
        <v>0</v>
      </c>
      <c r="G218" s="13"/>
      <c r="H218" s="31">
        <f>H219</f>
        <v>2716.27</v>
      </c>
      <c r="I218" s="13"/>
      <c r="J218" s="87"/>
      <c r="K218" s="25"/>
    </row>
    <row r="219" spans="1:14" s="12" customFormat="1" ht="14.25" x14ac:dyDescent="0.2">
      <c r="A219" s="27"/>
      <c r="B219" s="12" t="s">
        <v>128</v>
      </c>
      <c r="F219" s="24">
        <v>0</v>
      </c>
      <c r="G219" s="13"/>
      <c r="H219" s="24">
        <f>2295+421.27</f>
        <v>2716.27</v>
      </c>
      <c r="I219" s="13"/>
      <c r="J219" s="19"/>
      <c r="K219" s="13"/>
    </row>
    <row r="220" spans="1:14" s="27" customFormat="1" x14ac:dyDescent="0.25">
      <c r="A220" s="7" t="s">
        <v>129</v>
      </c>
      <c r="B220" s="7"/>
      <c r="C220" s="7"/>
      <c r="D220" s="7"/>
      <c r="E220" s="7"/>
      <c r="F220" s="31">
        <f>F221+F222</f>
        <v>2238953.88</v>
      </c>
      <c r="G220" s="9">
        <f>F220/F$174*100</f>
        <v>4.0240325949673501</v>
      </c>
      <c r="H220" s="31">
        <f>H221+H222</f>
        <v>2861897.56</v>
      </c>
      <c r="I220" s="9">
        <f>H220/H$174*100</f>
        <v>6.3917400696778301</v>
      </c>
      <c r="J220" s="90"/>
      <c r="K220" s="26"/>
    </row>
    <row r="221" spans="1:14" s="12" customFormat="1" ht="14.25" x14ac:dyDescent="0.2">
      <c r="A221" s="27"/>
      <c r="B221" s="12" t="s">
        <v>225</v>
      </c>
      <c r="F221" s="13">
        <f>2238953.88-316430.81</f>
        <v>1922523.0699999998</v>
      </c>
      <c r="G221" s="24"/>
      <c r="H221" s="13">
        <f>2861897.56-182575.1</f>
        <v>2679322.46</v>
      </c>
      <c r="I221" s="24"/>
      <c r="J221" s="19"/>
      <c r="K221" s="13"/>
      <c r="N221" s="89"/>
    </row>
    <row r="222" spans="1:14" s="12" customFormat="1" ht="14.25" x14ac:dyDescent="0.2">
      <c r="A222" s="27"/>
      <c r="B222" s="12" t="s">
        <v>226</v>
      </c>
      <c r="F222" s="13">
        <f>266029.13+50401.68</f>
        <v>316430.81</v>
      </c>
      <c r="G222" s="24"/>
      <c r="H222" s="13">
        <v>182575.1</v>
      </c>
      <c r="I222" s="24"/>
      <c r="J222" s="19"/>
      <c r="K222" s="13"/>
      <c r="N222" s="89"/>
    </row>
    <row r="223" spans="1:14" s="27" customFormat="1" x14ac:dyDescent="0.25">
      <c r="A223" s="7" t="s">
        <v>130</v>
      </c>
      <c r="B223" s="7"/>
      <c r="C223" s="7"/>
      <c r="D223" s="7"/>
      <c r="E223" s="7"/>
      <c r="F223" s="25">
        <f>F224</f>
        <v>61084.1</v>
      </c>
      <c r="G223" s="9">
        <f>F223/F$174*100</f>
        <v>0.1097853830889295</v>
      </c>
      <c r="H223" s="25">
        <f>H224</f>
        <v>135780.73000000001</v>
      </c>
      <c r="I223" s="9">
        <f>H223/H$174*100</f>
        <v>0.30325164141483341</v>
      </c>
      <c r="J223" s="90"/>
      <c r="K223" s="26"/>
    </row>
    <row r="224" spans="1:14" s="85" customFormat="1" ht="15.75" x14ac:dyDescent="0.25">
      <c r="A224" s="7"/>
      <c r="B224" s="12" t="s">
        <v>131</v>
      </c>
      <c r="C224" s="12"/>
      <c r="D224" s="12"/>
      <c r="E224" s="12"/>
      <c r="F224" s="13">
        <f>[1]Plan4!M201</f>
        <v>61084.1</v>
      </c>
      <c r="G224" s="24"/>
      <c r="H224" s="13">
        <v>135780.73000000001</v>
      </c>
      <c r="I224" s="24"/>
      <c r="J224" s="83"/>
      <c r="K224" s="84"/>
    </row>
    <row r="225" spans="1:11" s="27" customFormat="1" x14ac:dyDescent="0.25">
      <c r="A225" s="7" t="s">
        <v>132</v>
      </c>
      <c r="B225" s="7"/>
      <c r="C225" s="7"/>
      <c r="D225" s="7"/>
      <c r="E225" s="7"/>
      <c r="F225" s="25">
        <f>(F206-F220)+F209+F223-F218</f>
        <v>62328.610000013745</v>
      </c>
      <c r="G225" s="9">
        <f>F225/F$174*100</f>
        <v>0.11202211911531793</v>
      </c>
      <c r="H225" s="25">
        <f>(H206-H220)+H209+H223-H218</f>
        <v>202262.50999999797</v>
      </c>
      <c r="I225" s="9">
        <f>H225/H$174*100</f>
        <v>0.45173153918220599</v>
      </c>
      <c r="J225" s="90"/>
      <c r="K225" s="26"/>
    </row>
    <row r="226" spans="1:11" s="12" customFormat="1" x14ac:dyDescent="0.25">
      <c r="A226" s="27"/>
      <c r="B226" s="13"/>
      <c r="E226" s="2"/>
      <c r="F226" s="25"/>
      <c r="G226" s="18"/>
      <c r="H226" s="13"/>
      <c r="I226" s="18"/>
      <c r="J226" s="19"/>
      <c r="K226" s="13"/>
    </row>
    <row r="227" spans="1:11" s="12" customFormat="1" x14ac:dyDescent="0.25">
      <c r="A227" s="27"/>
      <c r="B227" s="13"/>
      <c r="E227" s="2"/>
      <c r="F227" s="25"/>
      <c r="G227" s="18"/>
      <c r="H227" s="13"/>
      <c r="I227" s="18"/>
      <c r="J227" s="19"/>
      <c r="K227" s="13"/>
    </row>
    <row r="228" spans="1:11" s="12" customFormat="1" ht="12.75" x14ac:dyDescent="0.2">
      <c r="B228" s="13"/>
      <c r="E228" s="2"/>
      <c r="F228" s="28"/>
      <c r="G228" s="18"/>
      <c r="H228" s="18"/>
      <c r="I228" s="18"/>
      <c r="J228" s="19"/>
      <c r="K228" s="13"/>
    </row>
    <row r="229" spans="1:11" s="12" customFormat="1" ht="12.75" x14ac:dyDescent="0.2">
      <c r="A229" s="77" t="str">
        <f>A114</f>
        <v>Carazinho, 31 de dezembro de 2.021</v>
      </c>
      <c r="B229" s="77"/>
      <c r="C229" s="77"/>
      <c r="D229" s="77"/>
      <c r="E229" s="77"/>
      <c r="F229" s="77"/>
      <c r="G229" s="77"/>
      <c r="H229" s="77"/>
      <c r="I229" s="77"/>
      <c r="J229" s="19"/>
      <c r="K229" s="13"/>
    </row>
    <row r="230" spans="1:11" s="12" customFormat="1" ht="12.75" x14ac:dyDescent="0.2">
      <c r="J230" s="19"/>
      <c r="K230" s="13"/>
    </row>
    <row r="231" spans="1:11" s="12" customFormat="1" ht="12.75" x14ac:dyDescent="0.2">
      <c r="B231" s="13"/>
      <c r="E231" s="2"/>
      <c r="F231" s="14"/>
      <c r="J231" s="19"/>
      <c r="K231" s="13"/>
    </row>
    <row r="232" spans="1:11" s="12" customFormat="1" ht="12.75" x14ac:dyDescent="0.2">
      <c r="B232" s="13"/>
      <c r="C232" s="2" t="s">
        <v>221</v>
      </c>
      <c r="E232" s="2"/>
      <c r="F232" s="22"/>
      <c r="G232" s="77" t="s">
        <v>59</v>
      </c>
      <c r="H232" s="77"/>
      <c r="I232" s="6"/>
      <c r="J232" s="19"/>
      <c r="K232" s="13"/>
    </row>
    <row r="233" spans="1:11" s="12" customFormat="1" ht="12.75" x14ac:dyDescent="0.2">
      <c r="B233" s="13"/>
      <c r="C233" s="2" t="s">
        <v>222</v>
      </c>
      <c r="E233" s="2"/>
      <c r="F233" s="23"/>
      <c r="G233" s="77" t="s">
        <v>60</v>
      </c>
      <c r="H233" s="77"/>
      <c r="I233" s="6"/>
      <c r="J233" s="19"/>
      <c r="K233" s="13"/>
    </row>
    <row r="234" spans="1:11" s="12" customFormat="1" ht="12.75" x14ac:dyDescent="0.2">
      <c r="B234" s="13"/>
      <c r="C234" s="24" t="s">
        <v>223</v>
      </c>
      <c r="E234" s="2"/>
      <c r="F234" s="23"/>
      <c r="G234" s="77" t="s">
        <v>61</v>
      </c>
      <c r="H234" s="77"/>
      <c r="I234" s="6"/>
      <c r="J234" s="19"/>
      <c r="K234" s="13"/>
    </row>
  </sheetData>
  <mergeCells count="24">
    <mergeCell ref="G232:H232"/>
    <mergeCell ref="G233:H233"/>
    <mergeCell ref="G234:H234"/>
    <mergeCell ref="A167:I167"/>
    <mergeCell ref="A168:I168"/>
    <mergeCell ref="A170:I170"/>
    <mergeCell ref="B214:D214"/>
    <mergeCell ref="A229:I229"/>
    <mergeCell ref="G71:H71"/>
    <mergeCell ref="G72:H72"/>
    <mergeCell ref="G73:H73"/>
    <mergeCell ref="A84:I84"/>
    <mergeCell ref="A1:I1"/>
    <mergeCell ref="A2:I2"/>
    <mergeCell ref="A4:I4"/>
    <mergeCell ref="A6:E6"/>
    <mergeCell ref="A66:I66"/>
    <mergeCell ref="A85:I85"/>
    <mergeCell ref="A87:I87"/>
    <mergeCell ref="A89:E89"/>
    <mergeCell ref="A114:I114"/>
    <mergeCell ref="G118:H118"/>
    <mergeCell ref="G119:H119"/>
    <mergeCell ref="G117:H117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N51"/>
  <sheetViews>
    <sheetView workbookViewId="0">
      <selection sqref="A1:XFD51"/>
    </sheetView>
  </sheetViews>
  <sheetFormatPr defaultRowHeight="15" x14ac:dyDescent="0.25"/>
  <cols>
    <col min="6" max="7" width="15.7109375" bestFit="1" customWidth="1"/>
    <col min="8" max="8" width="22.5703125" bestFit="1" customWidth="1"/>
  </cols>
  <sheetData>
    <row r="1" spans="1:12" s="85" customFormat="1" ht="18" x14ac:dyDescent="0.25">
      <c r="A1" s="78" t="s">
        <v>0</v>
      </c>
      <c r="B1" s="78"/>
      <c r="C1" s="78"/>
      <c r="D1" s="78"/>
      <c r="E1" s="78"/>
      <c r="F1" s="78"/>
      <c r="G1" s="78"/>
      <c r="H1" s="78"/>
      <c r="I1" s="78"/>
    </row>
    <row r="2" spans="1:12" s="85" customFormat="1" ht="15.75" x14ac:dyDescent="0.25">
      <c r="A2" s="79" t="s">
        <v>1</v>
      </c>
      <c r="B2" s="79"/>
      <c r="C2" s="79"/>
      <c r="D2" s="79"/>
      <c r="E2" s="79"/>
      <c r="F2" s="79"/>
      <c r="G2" s="79"/>
      <c r="H2" s="79"/>
      <c r="I2" s="79"/>
    </row>
    <row r="3" spans="1:12" s="85" customFormat="1" ht="15.75" x14ac:dyDescent="0.25">
      <c r="A3" s="1"/>
      <c r="B3" s="1"/>
      <c r="C3" s="1"/>
      <c r="D3" s="1"/>
      <c r="E3" s="1"/>
      <c r="F3" s="1"/>
      <c r="G3" s="1"/>
      <c r="H3" s="1"/>
      <c r="I3" s="1"/>
    </row>
    <row r="4" spans="1:12" s="85" customFormat="1" ht="15.75" x14ac:dyDescent="0.25">
      <c r="A4" s="75" t="s">
        <v>133</v>
      </c>
      <c r="B4" s="75"/>
      <c r="C4" s="75"/>
      <c r="D4" s="75"/>
      <c r="E4" s="75"/>
      <c r="F4" s="75"/>
      <c r="G4" s="75"/>
      <c r="H4" s="75"/>
      <c r="I4" s="75"/>
    </row>
    <row r="5" spans="1:12" s="12" customFormat="1" ht="15.75" x14ac:dyDescent="0.25">
      <c r="A5" s="75" t="s">
        <v>134</v>
      </c>
      <c r="B5" s="75"/>
      <c r="C5" s="75"/>
      <c r="D5" s="75"/>
      <c r="E5" s="75"/>
      <c r="F5" s="75"/>
      <c r="G5" s="75"/>
      <c r="H5" s="75"/>
      <c r="I5" s="75"/>
    </row>
    <row r="6" spans="1:12" s="12" customFormat="1" x14ac:dyDescent="0.25">
      <c r="A6" s="7"/>
      <c r="B6" s="14"/>
      <c r="C6" s="14"/>
      <c r="D6" s="14"/>
      <c r="E6" s="14"/>
      <c r="F6" s="14"/>
      <c r="G6" s="14"/>
      <c r="H6" s="14"/>
    </row>
    <row r="7" spans="1:12" s="7" customFormat="1" x14ac:dyDescent="0.25">
      <c r="B7" s="14"/>
      <c r="C7" s="14"/>
      <c r="D7" s="14"/>
      <c r="E7" s="14"/>
      <c r="F7" s="14"/>
      <c r="G7" s="14"/>
      <c r="H7" s="14"/>
      <c r="I7" s="12"/>
    </row>
    <row r="8" spans="1:12" s="7" customFormat="1" x14ac:dyDescent="0.25">
      <c r="A8" s="7" t="s">
        <v>135</v>
      </c>
      <c r="E8" s="7" t="s">
        <v>64</v>
      </c>
      <c r="G8" s="4">
        <v>2021</v>
      </c>
      <c r="H8" s="4">
        <v>2020</v>
      </c>
    </row>
    <row r="9" spans="1:12" s="27" customFormat="1" x14ac:dyDescent="0.25">
      <c r="A9" s="7"/>
      <c r="B9" s="7" t="s">
        <v>136</v>
      </c>
      <c r="C9" s="7"/>
      <c r="D9" s="7"/>
      <c r="E9" s="7"/>
      <c r="F9" s="7"/>
      <c r="G9" s="25"/>
      <c r="H9" s="25"/>
      <c r="I9" s="7"/>
    </row>
    <row r="10" spans="1:12" s="27" customFormat="1" ht="14.25" x14ac:dyDescent="0.2">
      <c r="C10" s="27" t="s">
        <v>137</v>
      </c>
      <c r="G10" s="32">
        <f>'[1]balanço e dre '!F225</f>
        <v>62328.610000013745</v>
      </c>
      <c r="H10" s="32">
        <v>202262.50999999797</v>
      </c>
    </row>
    <row r="11" spans="1:12" s="27" customFormat="1" ht="14.25" x14ac:dyDescent="0.2">
      <c r="C11" s="27" t="s">
        <v>138</v>
      </c>
      <c r="G11" s="26">
        <f>425193.97-191572.09</f>
        <v>233621.87999999998</v>
      </c>
      <c r="H11" s="32">
        <v>128232.31</v>
      </c>
    </row>
    <row r="12" spans="1:12" s="27" customFormat="1" x14ac:dyDescent="0.25">
      <c r="A12" s="7"/>
      <c r="B12" s="7" t="s">
        <v>139</v>
      </c>
      <c r="C12" s="7"/>
      <c r="D12" s="7"/>
      <c r="E12" s="7"/>
      <c r="F12" s="7"/>
    </row>
    <row r="13" spans="1:12" s="7" customFormat="1" x14ac:dyDescent="0.25">
      <c r="A13" s="27"/>
      <c r="B13" s="27"/>
      <c r="C13" s="27" t="s">
        <v>140</v>
      </c>
      <c r="D13" s="27"/>
      <c r="E13" s="27"/>
      <c r="F13" s="27"/>
      <c r="G13" s="26">
        <f>-'[1]balanço e dre '!F61+'[1]balanço e dre '!H61</f>
        <v>1234791.6200000001</v>
      </c>
      <c r="H13" s="26">
        <v>998003.96</v>
      </c>
      <c r="I13" s="27"/>
    </row>
    <row r="14" spans="1:12" s="27" customFormat="1" x14ac:dyDescent="0.25">
      <c r="A14" s="7"/>
      <c r="B14" s="7" t="s">
        <v>141</v>
      </c>
      <c r="C14" s="7"/>
      <c r="D14" s="7"/>
      <c r="E14" s="7"/>
      <c r="F14" s="7"/>
      <c r="G14" s="25"/>
      <c r="H14" s="25"/>
      <c r="I14" s="7"/>
    </row>
    <row r="15" spans="1:12" s="27" customFormat="1" ht="14.25" x14ac:dyDescent="0.2">
      <c r="C15" s="27" t="s">
        <v>142</v>
      </c>
      <c r="G15" s="26">
        <f>'[1]balanço e dre '!F103-'[1]balanço e dre '!H103</f>
        <v>39407.970000000671</v>
      </c>
      <c r="H15" s="26"/>
      <c r="J15" s="32"/>
    </row>
    <row r="16" spans="1:12" s="27" customFormat="1" ht="14.25" x14ac:dyDescent="0.2">
      <c r="C16" s="27" t="s">
        <v>143</v>
      </c>
      <c r="G16" s="26">
        <f>'[1]balanço e dre '!H34-'[1]balanço e dre '!F34</f>
        <v>172345.30999999982</v>
      </c>
      <c r="H16" s="26">
        <v>0</v>
      </c>
      <c r="L16" s="26"/>
    </row>
    <row r="17" spans="1:14" s="27" customFormat="1" ht="14.25" x14ac:dyDescent="0.2">
      <c r="C17" s="27" t="s">
        <v>144</v>
      </c>
      <c r="G17" s="26">
        <v>0</v>
      </c>
      <c r="H17" s="26">
        <v>0</v>
      </c>
      <c r="L17" s="26"/>
    </row>
    <row r="18" spans="1:14" s="7" customFormat="1" x14ac:dyDescent="0.25">
      <c r="G18" s="27"/>
      <c r="H18" s="27"/>
      <c r="I18" s="27"/>
      <c r="K18" s="25"/>
      <c r="L18" s="26"/>
    </row>
    <row r="19" spans="1:14" s="27" customFormat="1" x14ac:dyDescent="0.25">
      <c r="A19" s="7" t="s">
        <v>145</v>
      </c>
      <c r="B19" s="7"/>
      <c r="C19" s="7"/>
      <c r="D19" s="7"/>
      <c r="E19" s="7"/>
      <c r="F19" s="7"/>
      <c r="G19" s="25">
        <f>SUM(G10:G18)</f>
        <v>1742495.3900000143</v>
      </c>
      <c r="H19" s="25">
        <f>SUM(H10:H18)</f>
        <v>1328498.7799999979</v>
      </c>
      <c r="I19" s="7"/>
    </row>
    <row r="20" spans="1:14" s="7" customFormat="1" x14ac:dyDescent="0.25">
      <c r="G20" s="27"/>
      <c r="H20" s="27"/>
      <c r="I20" s="27"/>
    </row>
    <row r="21" spans="1:14" s="7" customFormat="1" x14ac:dyDescent="0.25">
      <c r="A21" s="7" t="s">
        <v>146</v>
      </c>
    </row>
    <row r="22" spans="1:14" s="27" customFormat="1" x14ac:dyDescent="0.25">
      <c r="A22" s="7"/>
      <c r="B22" s="7"/>
      <c r="C22" s="27" t="s">
        <v>147</v>
      </c>
      <c r="D22" s="7"/>
      <c r="E22" s="7"/>
      <c r="F22" s="7"/>
      <c r="G22" s="26">
        <v>0</v>
      </c>
      <c r="H22" s="26">
        <v>145084.49</v>
      </c>
      <c r="I22" s="7"/>
    </row>
    <row r="23" spans="1:14" s="27" customFormat="1" ht="14.25" x14ac:dyDescent="0.2">
      <c r="C23" s="27" t="s">
        <v>36</v>
      </c>
      <c r="G23" s="32">
        <f>'[1]balanço e dre '!F38-'[1]balanço e dre '!H38</f>
        <v>0</v>
      </c>
      <c r="H23" s="32">
        <v>16694.11</v>
      </c>
      <c r="J23" s="32"/>
    </row>
    <row r="24" spans="1:14" s="27" customFormat="1" ht="14.25" x14ac:dyDescent="0.2">
      <c r="C24" s="27" t="s">
        <v>148</v>
      </c>
      <c r="G24" s="32">
        <f>'[1]balanço e dre '!F41+'[1]balanço e dre '!F57-'[1]balanço e dre '!H41-'[1]balanço e dre '!H57</f>
        <v>3075033.65</v>
      </c>
      <c r="H24" s="32">
        <v>3604885.94</v>
      </c>
      <c r="J24" s="32"/>
    </row>
    <row r="25" spans="1:14" s="27" customFormat="1" ht="14.25" x14ac:dyDescent="0.2">
      <c r="C25" s="27" t="s">
        <v>149</v>
      </c>
      <c r="G25" s="32">
        <v>0</v>
      </c>
      <c r="H25" s="32">
        <v>1046205.66</v>
      </c>
      <c r="K25" s="96"/>
      <c r="L25" s="96"/>
    </row>
    <row r="26" spans="1:14" s="27" customFormat="1" ht="14.25" x14ac:dyDescent="0.2">
      <c r="G26" s="32"/>
      <c r="H26" s="32"/>
      <c r="J26" s="32"/>
      <c r="K26" s="32"/>
    </row>
    <row r="27" spans="1:14" s="7" customFormat="1" x14ac:dyDescent="0.25">
      <c r="G27" s="27"/>
      <c r="H27" s="27"/>
      <c r="I27" s="27"/>
      <c r="J27" s="88"/>
    </row>
    <row r="28" spans="1:14" s="7" customFormat="1" x14ac:dyDescent="0.25">
      <c r="A28" s="7" t="s">
        <v>150</v>
      </c>
      <c r="G28" s="25">
        <f>SUM(G22:G26)</f>
        <v>3075033.65</v>
      </c>
      <c r="H28" s="25">
        <f>SUM(H22:H26)</f>
        <v>4812870.2</v>
      </c>
    </row>
    <row r="29" spans="1:14" s="27" customFormat="1" x14ac:dyDescent="0.25">
      <c r="A29" s="7" t="s">
        <v>151</v>
      </c>
      <c r="B29" s="7"/>
      <c r="C29" s="7"/>
      <c r="D29" s="7"/>
      <c r="E29" s="7"/>
      <c r="F29" s="7"/>
      <c r="G29" s="25">
        <f>G19-G28</f>
        <v>-1332538.2599999856</v>
      </c>
      <c r="H29" s="25">
        <f>H19-H28</f>
        <v>-3484371.4200000023</v>
      </c>
      <c r="I29" s="7"/>
      <c r="J29" s="96"/>
      <c r="N29" s="96"/>
    </row>
    <row r="30" spans="1:14" s="27" customFormat="1" x14ac:dyDescent="0.25">
      <c r="A30" s="7"/>
      <c r="B30" s="7"/>
      <c r="C30" s="7"/>
      <c r="D30" s="7"/>
      <c r="E30" s="7"/>
      <c r="F30" s="7"/>
      <c r="G30" s="25"/>
      <c r="H30" s="25"/>
      <c r="J30" s="32"/>
      <c r="K30" s="96"/>
    </row>
    <row r="31" spans="1:14" s="7" customFormat="1" x14ac:dyDescent="0.25">
      <c r="A31" s="27"/>
      <c r="B31" s="27"/>
      <c r="C31" s="27"/>
      <c r="D31" s="27"/>
      <c r="E31" s="27"/>
      <c r="F31" s="27"/>
      <c r="G31" s="26"/>
      <c r="H31" s="26"/>
      <c r="I31" s="32"/>
    </row>
    <row r="32" spans="1:14" s="7" customFormat="1" x14ac:dyDescent="0.25">
      <c r="A32" s="80" t="s">
        <v>152</v>
      </c>
      <c r="B32" s="80"/>
      <c r="C32" s="80"/>
      <c r="D32" s="80"/>
      <c r="E32" s="80"/>
      <c r="F32" s="80"/>
      <c r="G32" s="80"/>
      <c r="H32" s="80"/>
      <c r="I32" s="80"/>
      <c r="J32" s="20"/>
    </row>
    <row r="33" spans="1:12" s="27" customFormat="1" x14ac:dyDescent="0.25">
      <c r="A33" s="7"/>
      <c r="B33" s="7"/>
      <c r="C33" s="7"/>
      <c r="D33" s="7"/>
      <c r="E33" s="7"/>
      <c r="F33" s="7"/>
      <c r="G33" s="25"/>
      <c r="H33" s="25"/>
      <c r="I33" s="7"/>
      <c r="K33" s="32"/>
    </row>
    <row r="34" spans="1:12" s="27" customFormat="1" x14ac:dyDescent="0.25">
      <c r="E34" s="4"/>
      <c r="F34" s="4">
        <v>2021</v>
      </c>
      <c r="G34" s="4">
        <v>2020</v>
      </c>
      <c r="H34" s="31" t="s">
        <v>153</v>
      </c>
      <c r="I34" s="32"/>
      <c r="J34" s="96"/>
      <c r="K34" s="32"/>
    </row>
    <row r="35" spans="1:12" s="27" customFormat="1" ht="14.25" x14ac:dyDescent="0.2">
      <c r="C35" s="27" t="s">
        <v>154</v>
      </c>
      <c r="E35" s="26"/>
      <c r="F35" s="26">
        <f>'[1]balanço e dre '!F7</f>
        <v>10054571.65</v>
      </c>
      <c r="G35" s="26">
        <v>10585612.01</v>
      </c>
      <c r="H35" s="26">
        <f>F35-G35</f>
        <v>-531040.3599999994</v>
      </c>
      <c r="I35" s="32"/>
      <c r="K35" s="32"/>
    </row>
    <row r="36" spans="1:12" s="7" customFormat="1" x14ac:dyDescent="0.25">
      <c r="A36" s="27"/>
      <c r="B36" s="27"/>
      <c r="C36" s="27" t="s">
        <v>155</v>
      </c>
      <c r="D36" s="27"/>
      <c r="E36" s="26"/>
      <c r="F36" s="26">
        <f>'[1]balanço e dre '!F90</f>
        <v>17871160.359999999</v>
      </c>
      <c r="G36" s="26">
        <v>17069662.460000001</v>
      </c>
      <c r="H36" s="26">
        <f>F36-G36</f>
        <v>801497.89999999851</v>
      </c>
      <c r="I36" s="27"/>
      <c r="J36" s="20"/>
      <c r="L36" s="88"/>
    </row>
    <row r="37" spans="1:12" s="7" customFormat="1" x14ac:dyDescent="0.25">
      <c r="C37" s="7" t="s">
        <v>156</v>
      </c>
      <c r="E37" s="25"/>
      <c r="F37" s="25">
        <f>F35-F36</f>
        <v>-7816588.709999999</v>
      </c>
      <c r="G37" s="25">
        <v>-6484050.4500000011</v>
      </c>
      <c r="H37" s="25">
        <f>F37-G37</f>
        <v>-1332538.2599999979</v>
      </c>
      <c r="I37" s="20"/>
      <c r="J37" s="88"/>
    </row>
    <row r="38" spans="1:12" s="27" customFormat="1" x14ac:dyDescent="0.25">
      <c r="A38" s="7"/>
      <c r="B38" s="7"/>
      <c r="C38" s="7"/>
      <c r="D38" s="7"/>
      <c r="E38" s="25"/>
      <c r="F38" s="25"/>
      <c r="G38" s="25"/>
      <c r="H38" s="25"/>
      <c r="I38" s="7"/>
    </row>
    <row r="39" spans="1:12" s="27" customFormat="1" x14ac:dyDescent="0.25">
      <c r="E39" s="4"/>
      <c r="F39" s="4">
        <v>2020</v>
      </c>
      <c r="G39" s="4">
        <v>2019</v>
      </c>
      <c r="H39" s="31" t="s">
        <v>153</v>
      </c>
      <c r="J39" s="96"/>
    </row>
    <row r="40" spans="1:12" s="27" customFormat="1" ht="14.25" x14ac:dyDescent="0.2">
      <c r="C40" s="27" t="s">
        <v>154</v>
      </c>
      <c r="E40" s="26"/>
      <c r="F40" s="26">
        <v>10585612.01</v>
      </c>
      <c r="G40" s="26">
        <v>13323478.149999997</v>
      </c>
      <c r="H40" s="26">
        <f>F40-G40</f>
        <v>-2737866.1399999969</v>
      </c>
    </row>
    <row r="41" spans="1:12" s="7" customFormat="1" x14ac:dyDescent="0.25">
      <c r="A41" s="27"/>
      <c r="B41" s="27"/>
      <c r="C41" s="27" t="s">
        <v>155</v>
      </c>
      <c r="D41" s="27"/>
      <c r="E41" s="26"/>
      <c r="F41" s="26">
        <v>17069662.460000001</v>
      </c>
      <c r="G41" s="26">
        <v>16323157.18</v>
      </c>
      <c r="H41" s="26">
        <f>F41-G41</f>
        <v>746505.28000000119</v>
      </c>
      <c r="I41" s="27"/>
    </row>
    <row r="42" spans="1:12" s="12" customFormat="1" x14ac:dyDescent="0.25">
      <c r="A42" s="7"/>
      <c r="B42" s="7"/>
      <c r="C42" s="7" t="s">
        <v>156</v>
      </c>
      <c r="D42" s="7"/>
      <c r="E42" s="25"/>
      <c r="F42" s="25">
        <v>-6484050.4500000011</v>
      </c>
      <c r="G42" s="25">
        <v>-2999679.03</v>
      </c>
      <c r="H42" s="25">
        <f>H40-H41</f>
        <v>-3484371.4199999981</v>
      </c>
      <c r="I42" s="7"/>
      <c r="J42" s="89"/>
    </row>
    <row r="43" spans="1:12" s="12" customFormat="1" ht="14.25" x14ac:dyDescent="0.2">
      <c r="A43" s="27"/>
      <c r="G43" s="13"/>
      <c r="H43" s="13"/>
    </row>
    <row r="44" spans="1:12" s="12" customFormat="1" ht="14.25" x14ac:dyDescent="0.2">
      <c r="A44" s="27"/>
      <c r="G44" s="13"/>
      <c r="H44" s="13"/>
    </row>
    <row r="45" spans="1:12" s="12" customFormat="1" ht="14.25" x14ac:dyDescent="0.2">
      <c r="A45" s="27"/>
      <c r="G45" s="13"/>
      <c r="H45" s="13"/>
    </row>
    <row r="46" spans="1:12" s="12" customFormat="1" ht="12.75" x14ac:dyDescent="0.2">
      <c r="A46" s="77" t="str">
        <f>'[1]balanço e dre '!A66:I66</f>
        <v>Carazinho, 31 de dezembro de 2.021</v>
      </c>
      <c r="B46" s="77"/>
      <c r="C46" s="77"/>
      <c r="D46" s="77"/>
      <c r="E46" s="77"/>
      <c r="F46" s="77"/>
      <c r="G46" s="77"/>
      <c r="H46" s="77"/>
      <c r="I46" s="77"/>
    </row>
    <row r="47" spans="1:12" s="12" customFormat="1" ht="14.25" x14ac:dyDescent="0.2">
      <c r="A47" s="27"/>
    </row>
    <row r="48" spans="1:12" s="12" customFormat="1" ht="14.25" x14ac:dyDescent="0.2">
      <c r="A48" s="27"/>
    </row>
    <row r="49" spans="1:8" s="12" customFormat="1" ht="14.25" x14ac:dyDescent="0.2">
      <c r="A49" s="27"/>
      <c r="B49" s="2"/>
      <c r="C49" s="2" t="s">
        <v>221</v>
      </c>
      <c r="H49" s="2" t="s">
        <v>59</v>
      </c>
    </row>
    <row r="50" spans="1:8" s="12" customFormat="1" ht="14.25" x14ac:dyDescent="0.2">
      <c r="A50" s="27"/>
      <c r="B50" s="2"/>
      <c r="C50" s="2" t="s">
        <v>222</v>
      </c>
      <c r="H50" s="2" t="s">
        <v>60</v>
      </c>
    </row>
    <row r="51" spans="1:8" s="12" customFormat="1" ht="14.25" x14ac:dyDescent="0.2">
      <c r="A51" s="27"/>
      <c r="B51" s="24"/>
      <c r="C51" s="24" t="s">
        <v>223</v>
      </c>
      <c r="H51" s="2" t="s">
        <v>61</v>
      </c>
    </row>
  </sheetData>
  <mergeCells count="6">
    <mergeCell ref="A46:I46"/>
    <mergeCell ref="A1:I1"/>
    <mergeCell ref="A2:I2"/>
    <mergeCell ref="A4:I4"/>
    <mergeCell ref="A5:I5"/>
    <mergeCell ref="A32:I3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:AA57"/>
  <sheetViews>
    <sheetView workbookViewId="0">
      <selection sqref="A1:XFD57"/>
    </sheetView>
  </sheetViews>
  <sheetFormatPr defaultRowHeight="15" x14ac:dyDescent="0.25"/>
  <cols>
    <col min="1" max="1" width="38.5703125" bestFit="1" customWidth="1"/>
    <col min="2" max="2" width="12.42578125" bestFit="1" customWidth="1"/>
    <col min="3" max="3" width="29" bestFit="1" customWidth="1"/>
    <col min="4" max="8" width="12.42578125" bestFit="1" customWidth="1"/>
    <col min="9" max="9" width="22.5703125" bestFit="1" customWidth="1"/>
    <col min="10" max="10" width="12.42578125" bestFit="1" customWidth="1"/>
    <col min="11" max="11" width="13.140625" bestFit="1" customWidth="1"/>
    <col min="12" max="12" width="12.42578125" bestFit="1" customWidth="1"/>
    <col min="13" max="13" width="13.140625" bestFit="1" customWidth="1"/>
  </cols>
  <sheetData>
    <row r="1" spans="1:27" s="33" customFormat="1" ht="12" x14ac:dyDescent="0.2">
      <c r="B1" s="34"/>
      <c r="C1" s="34"/>
      <c r="D1" s="34"/>
      <c r="E1" s="34"/>
      <c r="F1" s="34"/>
      <c r="G1" s="34"/>
      <c r="H1" s="35"/>
      <c r="I1" s="35"/>
      <c r="K1" s="35"/>
      <c r="L1" s="35"/>
      <c r="M1" s="35"/>
    </row>
    <row r="2" spans="1:27" s="30" customFormat="1" ht="12.75" customHeight="1" x14ac:dyDescent="0.25">
      <c r="A2" s="81" t="s">
        <v>157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27" s="33" customFormat="1" ht="12" x14ac:dyDescent="0.2">
      <c r="A3" s="36"/>
      <c r="B3" s="37"/>
      <c r="C3" s="38"/>
      <c r="D3" s="38"/>
      <c r="E3" s="38"/>
      <c r="F3" s="38"/>
      <c r="G3" s="38"/>
      <c r="H3" s="39"/>
      <c r="I3" s="40"/>
      <c r="J3" s="41"/>
      <c r="K3" s="40"/>
      <c r="L3" s="40"/>
      <c r="M3" s="40"/>
    </row>
    <row r="4" spans="1:27" s="33" customFormat="1" ht="12" x14ac:dyDescent="0.2">
      <c r="A4" s="42"/>
      <c r="B4" s="43"/>
      <c r="C4" s="44"/>
      <c r="D4" s="44"/>
      <c r="E4" s="44"/>
      <c r="F4" s="44"/>
      <c r="G4" s="44"/>
      <c r="H4" s="45"/>
      <c r="I4" s="46"/>
      <c r="K4" s="46"/>
      <c r="L4" s="46"/>
      <c r="M4" s="46"/>
    </row>
    <row r="5" spans="1:27" s="33" customFormat="1" ht="12" x14ac:dyDescent="0.2">
      <c r="A5" s="47" t="s">
        <v>158</v>
      </c>
      <c r="B5" s="48">
        <v>44197</v>
      </c>
      <c r="C5" s="48">
        <v>44228</v>
      </c>
      <c r="D5" s="48">
        <v>44256</v>
      </c>
      <c r="E5" s="48">
        <v>44287</v>
      </c>
      <c r="F5" s="48">
        <v>44317</v>
      </c>
      <c r="G5" s="48">
        <v>44348</v>
      </c>
      <c r="H5" s="48">
        <v>44378</v>
      </c>
      <c r="I5" s="48">
        <v>44409</v>
      </c>
      <c r="J5" s="48">
        <v>44440</v>
      </c>
      <c r="K5" s="48">
        <v>44470</v>
      </c>
      <c r="L5" s="48">
        <v>44501</v>
      </c>
      <c r="M5" s="48">
        <v>44531</v>
      </c>
    </row>
    <row r="6" spans="1:27" s="33" customFormat="1" ht="12" x14ac:dyDescent="0.2">
      <c r="A6" s="47"/>
      <c r="B6" s="49" t="s">
        <v>159</v>
      </c>
      <c r="C6" s="49" t="s">
        <v>159</v>
      </c>
      <c r="D6" s="49" t="s">
        <v>159</v>
      </c>
      <c r="E6" s="49" t="s">
        <v>159</v>
      </c>
      <c r="F6" s="49" t="s">
        <v>159</v>
      </c>
      <c r="G6" s="49" t="s">
        <v>159</v>
      </c>
      <c r="H6" s="49" t="s">
        <v>159</v>
      </c>
      <c r="I6" s="49" t="s">
        <v>159</v>
      </c>
      <c r="J6" s="49" t="s">
        <v>159</v>
      </c>
      <c r="K6" s="49" t="s">
        <v>159</v>
      </c>
      <c r="L6" s="49" t="s">
        <v>159</v>
      </c>
      <c r="M6" s="49" t="s">
        <v>159</v>
      </c>
    </row>
    <row r="7" spans="1:27" s="33" customFormat="1" ht="12" x14ac:dyDescent="0.2">
      <c r="A7" s="50" t="s">
        <v>160</v>
      </c>
      <c r="B7" s="97">
        <f t="shared" ref="B7:H7" si="0">B8+B9</f>
        <v>1039900.4999999992</v>
      </c>
      <c r="C7" s="97">
        <f t="shared" si="0"/>
        <v>3356997.6</v>
      </c>
      <c r="D7" s="97">
        <f t="shared" si="0"/>
        <v>4809521.3300000019</v>
      </c>
      <c r="E7" s="97">
        <f t="shared" si="0"/>
        <v>4606163.580000001</v>
      </c>
      <c r="F7" s="97">
        <f t="shared" si="0"/>
        <v>4982410.2899999982</v>
      </c>
      <c r="G7" s="97">
        <f t="shared" si="0"/>
        <v>5343304.6500000013</v>
      </c>
      <c r="H7" s="97">
        <f t="shared" si="0"/>
        <v>4209201.96</v>
      </c>
      <c r="I7" s="97">
        <f>I8+I9</f>
        <v>5510030.5600000015</v>
      </c>
      <c r="J7" s="97">
        <f>J8+J9</f>
        <v>4197196.1099999994</v>
      </c>
      <c r="K7" s="97">
        <f>K8+K9</f>
        <v>3893611.4200000032</v>
      </c>
      <c r="L7" s="97">
        <f>L8+L9</f>
        <v>4634168.5499999952</v>
      </c>
      <c r="M7" s="97">
        <f>M8+M9</f>
        <v>7378019.5000000056</v>
      </c>
    </row>
    <row r="8" spans="1:27" s="30" customFormat="1" ht="12" x14ac:dyDescent="0.2">
      <c r="A8" s="33" t="s">
        <v>161</v>
      </c>
      <c r="B8" s="44">
        <f>'[2]balancete 2021'!C100+'[2]balancete 2021'!B11-'[2]balancete 2021'!C11</f>
        <v>1399937.3699999992</v>
      </c>
      <c r="C8" s="44">
        <f>'[2]balancete 2021'!D100+'[2]balancete 2021'!C11-'[2]balancete 2021'!D11</f>
        <v>3349735.46</v>
      </c>
      <c r="D8" s="44">
        <f>'[2]balancete 2021'!E100+'[2]balancete 2021'!D11-'[2]balancete 2021'!E11</f>
        <v>4810591.660000002</v>
      </c>
      <c r="E8" s="44">
        <f>'[2]balancete 2021'!F100+'[2]balancete 2021'!E11-'[2]balancete 2021'!F11</f>
        <v>4385126.9700000007</v>
      </c>
      <c r="F8" s="44">
        <f>'[2]balancete 2021'!G100+'[2]balancete 2021'!F11-'[2]balancete 2021'!G11</f>
        <v>4933958.4599999981</v>
      </c>
      <c r="G8" s="44">
        <f>'[2]balancete 2021'!H100+'[2]balancete 2021'!G11-'[2]balancete 2021'!H11</f>
        <v>5326676.620000001</v>
      </c>
      <c r="H8" s="44">
        <f>'[2]balancete 2021'!I100+'[2]balancete 2021'!H11-'[2]balancete 2021'!I11</f>
        <v>4185109.66</v>
      </c>
      <c r="I8" s="44">
        <f>'[2]balancete 2021'!J100+'[2]balancete 2021'!I11-'[2]balancete 2021'!J11</f>
        <v>5546155.9500000011</v>
      </c>
      <c r="J8" s="44">
        <f>'[2]balancete 2021'!K100+'[2]balancete 2021'!J11-'[2]balancete 2021'!K11</f>
        <v>4217939.8499999996</v>
      </c>
      <c r="K8" s="44">
        <f>'[2]balancete 2021'!L100+'[2]balancete 2021'!K11-'[2]balancete 2021'!L11</f>
        <v>5001727.950000003</v>
      </c>
      <c r="L8" s="44">
        <f>'[2]balancete 2021'!M100+'[2]balancete 2021'!L11-'[2]balancete 2021'!M11</f>
        <v>4409236.8799999952</v>
      </c>
      <c r="M8" s="44">
        <f>'[2]balancete 2021'!N100+'[2]balancete 2021'!M11-'[2]balancete 2021'!N11</f>
        <v>6876628.6700000055</v>
      </c>
      <c r="O8" s="54"/>
    </row>
    <row r="9" spans="1:27" s="30" customFormat="1" ht="12" x14ac:dyDescent="0.2">
      <c r="A9" s="33" t="s">
        <v>162</v>
      </c>
      <c r="B9" s="44">
        <f xml:space="preserve"> ('[2]balancete 2021'!B21+'[2]balancete 2021'!B26+'[2]balancete 2021'!B25)- ('[2]balancete 2021'!C21+'[2]balancete 2021'!C26+'[2]balancete 2021'!C25)</f>
        <v>-360036.87</v>
      </c>
      <c r="C9" s="44">
        <f xml:space="preserve"> ('[2]balancete 2021'!C21+'[2]balancete 2021'!C26+'[2]balancete 2021'!C25)- ('[2]balancete 2021'!D21+'[2]balancete 2021'!D26+'[2]balancete 2021'!D25)</f>
        <v>7262.1400000000722</v>
      </c>
      <c r="D9" s="44">
        <f xml:space="preserve"> ('[2]balancete 2021'!D21+'[2]balancete 2021'!D26+'[2]balancete 2021'!D25)- ('[2]balancete 2021'!E21+'[2]balancete 2021'!E26+'[2]balancete 2021'!E25)</f>
        <v>-1070.3300000000745</v>
      </c>
      <c r="E9" s="44">
        <f xml:space="preserve"> ('[2]balancete 2021'!E21+'[2]balancete 2021'!E26+'[2]balancete 2021'!E25)- ('[2]balancete 2021'!F21+'[2]balancete 2021'!F26+'[2]balancete 2021'!F25)</f>
        <v>221036.61000000004</v>
      </c>
      <c r="F9" s="44">
        <f xml:space="preserve"> ('[2]balancete 2021'!F21+'[2]balancete 2021'!F26+'[2]balancete 2021'!F25)- ('[2]balancete 2021'!G21+'[2]balancete 2021'!G26+'[2]balancete 2021'!G25)</f>
        <v>48451.829999999958</v>
      </c>
      <c r="G9" s="44">
        <f xml:space="preserve"> ('[2]balancete 2021'!G21+'[2]balancete 2021'!G26+'[2]balancete 2021'!G25)- ('[2]balancete 2021'!H21+'[2]balancete 2021'!H26+'[2]balancete 2021'!H25)</f>
        <v>16628.030000000028</v>
      </c>
      <c r="H9" s="44">
        <f xml:space="preserve"> ('[2]balancete 2021'!H21+'[2]balancete 2021'!H26+'[2]balancete 2021'!H25)- ('[2]balancete 2021'!I21+'[2]balancete 2021'!I26+'[2]balancete 2021'!I25)</f>
        <v>24092.299999999988</v>
      </c>
      <c r="I9" s="44">
        <f xml:space="preserve"> ('[2]balancete 2021'!I21+'[2]balancete 2021'!I26+'[2]balancete 2021'!I25)- ('[2]balancete 2021'!J21+'[2]balancete 2021'!J26+'[2]balancete 2021'!J25)</f>
        <v>-36125.389999999985</v>
      </c>
      <c r="J9" s="44">
        <f xml:space="preserve"> ('[2]balancete 2021'!J21+'[2]balancete 2021'!J26+'[2]balancete 2021'!J25)- ('[2]balancete 2021'!K21+'[2]balancete 2021'!K26+'[2]balancete 2021'!K25)</f>
        <v>-20743.740000000078</v>
      </c>
      <c r="K9" s="44">
        <f xml:space="preserve"> ('[2]balancete 2021'!K21+'[2]balancete 2021'!K26+'[2]balancete 2021'!K25)- ('[2]balancete 2021'!L21+'[2]balancete 2021'!L26+'[2]balancete 2021'!L25)</f>
        <v>-1108116.5299999998</v>
      </c>
      <c r="L9" s="44">
        <f xml:space="preserve"> ('[2]balancete 2021'!L21+'[2]balancete 2021'!L26+'[2]balancete 2021'!L25)- ('[2]balancete 2021'!M21+'[2]balancete 2021'!M26+'[2]balancete 2021'!M25)</f>
        <v>224931.66999999993</v>
      </c>
      <c r="M9" s="44">
        <f xml:space="preserve"> ('[2]balancete 2021'!M21+'[2]balancete 2021'!M26+'[2]balancete 2021'!M25)- ('[2]balancete 2021'!N21+'[2]balancete 2021'!N26+'[2]balancete 2021'!N25)</f>
        <v>501390.82999999996</v>
      </c>
    </row>
    <row r="10" spans="1:27" s="33" customFormat="1" ht="12" x14ac:dyDescent="0.2">
      <c r="A10" s="51" t="s">
        <v>163</v>
      </c>
      <c r="B10" s="97">
        <f t="shared" ref="B10:H10" si="1">SUM(B11:B15)</f>
        <v>4837928.0499999989</v>
      </c>
      <c r="C10" s="97">
        <f t="shared" si="1"/>
        <v>3295852.71</v>
      </c>
      <c r="D10" s="97">
        <f t="shared" si="1"/>
        <v>4867950.3000000026</v>
      </c>
      <c r="E10" s="97">
        <f t="shared" si="1"/>
        <v>4594001.6400000015</v>
      </c>
      <c r="F10" s="97">
        <f t="shared" si="1"/>
        <v>4472478.9999999981</v>
      </c>
      <c r="G10" s="97">
        <f t="shared" si="1"/>
        <v>5390182.5599999996</v>
      </c>
      <c r="H10" s="97">
        <f t="shared" si="1"/>
        <v>4732375.8600000031</v>
      </c>
      <c r="I10" s="97">
        <f>SUM(I11:I15)</f>
        <v>5344073.4500000011</v>
      </c>
      <c r="J10" s="97">
        <f>SUM(J11:J15)</f>
        <v>4460521.6199999982</v>
      </c>
      <c r="K10" s="97">
        <f>SUM(K11:K15)</f>
        <v>4592347.0800000019</v>
      </c>
      <c r="L10" s="97">
        <f>SUM(L11:L15)</f>
        <v>5746018.1700000027</v>
      </c>
      <c r="M10" s="97">
        <f>SUM(M11:M15)</f>
        <v>4755622.5999999959</v>
      </c>
    </row>
    <row r="11" spans="1:27" s="33" customFormat="1" ht="12" x14ac:dyDescent="0.2">
      <c r="A11" s="30" t="s">
        <v>164</v>
      </c>
      <c r="B11" s="44">
        <f>('[2]balancete 2021'!C121+'[2]balancete 2021'!C122+'[2]balancete 2021'!C18+'[2]balancete 2021'!B51)-('[2]balancete 2021'!B18+'[2]balancete 2021'!C51)</f>
        <v>1185995.4899999993</v>
      </c>
      <c r="C11" s="44">
        <f>('[2]balancete 2021'!D121+'[2]balancete 2021'!D122+'[2]balancete 2021'!D18+'[2]balancete 2021'!C51)-('[2]balancete 2021'!C18+'[2]balancete 2021'!D51)</f>
        <v>1161064.6300000008</v>
      </c>
      <c r="D11" s="44">
        <f>('[2]balancete 2021'!E121+'[2]balancete 2021'!E122+'[2]balancete 2021'!E18+'[2]balancete 2021'!D51)-('[2]balancete 2021'!D18+'[2]balancete 2021'!E51)</f>
        <v>1423120.5</v>
      </c>
      <c r="E11" s="44">
        <f>('[2]balancete 2021'!F121+'[2]balancete 2021'!F122+'[2]balancete 2021'!F18+'[2]balancete 2021'!E51)-('[2]balancete 2021'!E18+'[2]balancete 2021'!F51)</f>
        <v>1318171.120000001</v>
      </c>
      <c r="F11" s="44">
        <f>('[2]balancete 2021'!G121+'[2]balancete 2021'!G122+'[2]balancete 2021'!G18+'[2]balancete 2021'!F51)-('[2]balancete 2021'!F18+'[2]balancete 2021'!G51)</f>
        <v>1282046.0300000012</v>
      </c>
      <c r="G11" s="44">
        <f>('[2]balancete 2021'!H121+'[2]balancete 2021'!H122+'[2]balancete 2021'!H18+'[2]balancete 2021'!G51)-('[2]balancete 2021'!G18+'[2]balancete 2021'!H51)</f>
        <v>1797405.5600000005</v>
      </c>
      <c r="H11" s="44">
        <f>('[2]balancete 2021'!I121+'[2]balancete 2021'!I122+'[2]balancete 2021'!I18+'[2]balancete 2021'!H51)-('[2]balancete 2021'!H18+'[2]balancete 2021'!I51)</f>
        <v>1287557.7499999991</v>
      </c>
      <c r="I11" s="44">
        <f>('[2]balancete 2021'!J121+'[2]balancete 2021'!J122+'[2]balancete 2021'!J18+'[2]balancete 2021'!I51)-('[2]balancete 2021'!I18+'[2]balancete 2021'!J51)</f>
        <v>2051018.3600000013</v>
      </c>
      <c r="J11" s="44">
        <f>('[2]balancete 2021'!K121+'[2]balancete 2021'!K122+'[2]balancete 2021'!K18+'[2]balancete 2021'!J51)-('[2]balancete 2021'!J18+'[2]balancete 2021'!K51)</f>
        <v>1024651.799999998</v>
      </c>
      <c r="K11" s="44">
        <f>('[2]balancete 2021'!L121+'[2]balancete 2021'!L122+'[2]balancete 2021'!L18+'[2]balancete 2021'!K51)-('[2]balancete 2021'!K18+'[2]balancete 2021'!L51)</f>
        <v>1546385.410000002</v>
      </c>
      <c r="L11" s="44">
        <f>('[2]balancete 2021'!M121+'[2]balancete 2021'!M122+'[2]balancete 2021'!M18+'[2]balancete 2021'!L51)-('[2]balancete 2021'!L18+'[2]balancete 2021'!M51)</f>
        <v>1275557.2100000009</v>
      </c>
      <c r="M11" s="44">
        <f>('[2]balancete 2021'!N121+'[2]balancete 2021'!N122+'[2]balancete 2021'!N18+'[2]balancete 2021'!M51)-('[2]balancete 2021'!M18+'[2]balancete 2021'!N51)</f>
        <v>1214693.2399999984</v>
      </c>
    </row>
    <row r="12" spans="1:27" s="33" customFormat="1" ht="12" x14ac:dyDescent="0.2">
      <c r="A12" s="33" t="s">
        <v>165</v>
      </c>
      <c r="B12" s="44">
        <f>'[2]balancete 2021'!C115+'[2]balancete 2021'!B52+'[2]balancete 2021'!B53-'[2]balancete 2021'!C52-'[2]balancete 2021'!C53</f>
        <v>1450223.2799999993</v>
      </c>
      <c r="C12" s="44">
        <f>'[2]balancete 2021'!D115+'[2]balancete 2021'!C52+'[2]balancete 2021'!C53-'[2]balancete 2021'!D52-'[2]balancete 2021'!D53</f>
        <v>1324959.0599999996</v>
      </c>
      <c r="D12" s="44">
        <f>'[2]balancete 2021'!E115+'[2]balancete 2021'!D52+'[2]balancete 2021'!D53-'[2]balancete 2021'!E52-'[2]balancete 2021'!E53</f>
        <v>1308775.5600000024</v>
      </c>
      <c r="E12" s="44">
        <f>'[2]balancete 2021'!F115+'[2]balancete 2021'!E52+'[2]balancete 2021'!E53-'[2]balancete 2021'!F52-'[2]balancete 2021'!F53</f>
        <v>1492535.0499999998</v>
      </c>
      <c r="F12" s="44">
        <f>'[2]balancete 2021'!G115+'[2]balancete 2021'!F52+'[2]balancete 2021'!F53-'[2]balancete 2021'!G52-'[2]balancete 2021'!G53</f>
        <v>1453436.0799999973</v>
      </c>
      <c r="G12" s="44">
        <f>'[2]balancete 2021'!H115+'[2]balancete 2021'!G52+'[2]balancete 2021'!G53-'[2]balancete 2021'!H52-'[2]balancete 2021'!H53</f>
        <v>1457202.8099999996</v>
      </c>
      <c r="H12" s="44">
        <f>'[2]balancete 2021'!I115+'[2]balancete 2021'!H52+'[2]balancete 2021'!H53-'[2]balancete 2021'!I52-'[2]balancete 2021'!I53</f>
        <v>1559645.1600000039</v>
      </c>
      <c r="I12" s="44">
        <f>'[2]balancete 2021'!J115+'[2]balancete 2021'!I52+'[2]balancete 2021'!I53-'[2]balancete 2021'!J52-'[2]balancete 2021'!J53</f>
        <v>1482742.4299999988</v>
      </c>
      <c r="J12" s="44">
        <f>'[2]balancete 2021'!K115+'[2]balancete 2021'!J52+'[2]balancete 2021'!J53-'[2]balancete 2021'!K52-'[2]balancete 2021'!K53</f>
        <v>1491488.5099999998</v>
      </c>
      <c r="K12" s="44">
        <f>'[2]balancete 2021'!L115+'[2]balancete 2021'!K52+'[2]balancete 2021'!K53-'[2]balancete 2021'!L52-'[2]balancete 2021'!L53</f>
        <v>1466445.7500000019</v>
      </c>
      <c r="L12" s="44">
        <f>'[2]balancete 2021'!M115+'[2]balancete 2021'!L52+'[2]balancete 2021'!L53-'[2]balancete 2021'!M52-'[2]balancete 2021'!M53</f>
        <v>2274442.2600000007</v>
      </c>
      <c r="M12" s="44">
        <f>'[2]balancete 2021'!N115+'[2]balancete 2021'!M52+'[2]balancete 2021'!M53-'[2]balancete 2021'!N52-'[2]balancete 2021'!N53</f>
        <v>1351903.4899999993</v>
      </c>
    </row>
    <row r="13" spans="1:27" s="33" customFormat="1" ht="12" x14ac:dyDescent="0.2">
      <c r="A13" s="33" t="s">
        <v>166</v>
      </c>
      <c r="B13" s="44">
        <f>'[2]balancete 2021'!C118+'[2]balancete 2021'!B62+'[2]balancete 2021'!B63-'[2]balancete 2021'!C62-'[2]balancete 2021'!C63</f>
        <v>1965366.7800000003</v>
      </c>
      <c r="C13" s="44">
        <f>'[2]balancete 2021'!D118+'[2]balancete 2021'!C62+'[2]balancete 2021'!C63-'[2]balancete 2021'!D62-'[2]balancete 2021'!D63</f>
        <v>607787.60999999964</v>
      </c>
      <c r="D13" s="44">
        <f>'[2]balancete 2021'!E118+'[2]balancete 2021'!D62+'[2]balancete 2021'!D63-'[2]balancete 2021'!E62-'[2]balancete 2021'!E63</f>
        <v>1905114.5100000005</v>
      </c>
      <c r="E13" s="44">
        <f>'[2]balancete 2021'!F118+'[2]balancete 2021'!E62+'[2]balancete 2021'!E63-'[2]balancete 2021'!F62-'[2]balancete 2021'!F63</f>
        <v>1548190.9499999997</v>
      </c>
      <c r="F13" s="44">
        <f>'[2]balancete 2021'!G118+'[2]balancete 2021'!F62+'[2]balancete 2021'!F63-'[2]balancete 2021'!G62-'[2]balancete 2021'!G63</f>
        <v>1440885.5499999993</v>
      </c>
      <c r="G13" s="44">
        <f>'[2]balancete 2021'!H118+'[2]balancete 2021'!G62+'[2]balancete 2021'!G63-'[2]balancete 2021'!H62-'[2]balancete 2021'!H63</f>
        <v>1486558.3099999998</v>
      </c>
      <c r="H13" s="44">
        <f>'[2]balancete 2021'!I118+'[2]balancete 2021'!H62+'[2]balancete 2021'!H63-'[2]balancete 2021'!I62-'[2]balancete 2021'!I63</f>
        <v>1548454.9600000004</v>
      </c>
      <c r="I13" s="44">
        <f>'[2]balancete 2021'!J118+'[2]balancete 2021'!I62+'[2]balancete 2021'!I63-'[2]balancete 2021'!J62-'[2]balancete 2021'!J63</f>
        <v>1585864.2400000002</v>
      </c>
      <c r="J13" s="44">
        <f>'[2]balancete 2021'!K118+'[2]balancete 2021'!J62+'[2]balancete 2021'!J63-'[2]balancete 2021'!K62-'[2]balancete 2021'!K63</f>
        <v>1636776.580000001</v>
      </c>
      <c r="K13" s="44">
        <f>'[2]balancete 2021'!L118+'[2]balancete 2021'!K62+'[2]balancete 2021'!K63-'[2]balancete 2021'!L62-'[2]balancete 2021'!L63</f>
        <v>1290985.2299999986</v>
      </c>
      <c r="L13" s="44">
        <f>'[2]balancete 2021'!M118+'[2]balancete 2021'!L62+'[2]balancete 2021'!L63-'[2]balancete 2021'!M62-'[2]balancete 2021'!M63</f>
        <v>2033819.5000000014</v>
      </c>
      <c r="M13" s="44">
        <f>'[2]balancete 2021'!N118+'[2]balancete 2021'!M62+'[2]balancete 2021'!M63-'[2]balancete 2021'!N62-'[2]balancete 2021'!N63</f>
        <v>1457091.6399999987</v>
      </c>
    </row>
    <row r="14" spans="1:27" s="33" customFormat="1" ht="12" x14ac:dyDescent="0.2">
      <c r="A14" s="33" t="s">
        <v>167</v>
      </c>
      <c r="B14" s="44">
        <f>'[2]balancete 2021'!C123+'[2]balancete 2021'!C124+'[2]balancete 2021'!B64-'[2]balancete 2021'!C64</f>
        <v>234059.53999999998</v>
      </c>
      <c r="C14" s="44">
        <f>'[2]balancete 2021'!D123+'[2]balancete 2021'!D124+'[2]balancete 2021'!C64-'[2]balancete 2021'!D64</f>
        <v>200242.53999999998</v>
      </c>
      <c r="D14" s="44">
        <f>'[2]balancete 2021'!E123+'[2]balancete 2021'!E124+'[2]balancete 2021'!D64-'[2]balancete 2021'!E64</f>
        <v>219969.97000000003</v>
      </c>
      <c r="E14" s="44">
        <f>'[2]balancete 2021'!F123+'[2]balancete 2021'!F124+'[2]balancete 2021'!E64-'[2]balancete 2021'!F64</f>
        <v>190464.89999999991</v>
      </c>
      <c r="F14" s="44">
        <f>'[2]balancete 2021'!G123+'[2]balancete 2021'!G124+'[2]balancete 2021'!F64-'[2]balancete 2021'!G64</f>
        <v>274444.4800000001</v>
      </c>
      <c r="G14" s="44">
        <f>'[2]balancete 2021'!H123+'[2]balancete 2021'!H124+'[2]balancete 2021'!G64-'[2]balancete 2021'!H64</f>
        <v>646447.96</v>
      </c>
      <c r="H14" s="44">
        <f>'[2]balancete 2021'!I123+'[2]balancete 2021'!I124+'[2]balancete 2021'!H64-'[2]balancete 2021'!I64</f>
        <v>335013.28999999998</v>
      </c>
      <c r="I14" s="44">
        <f>'[2]balancete 2021'!J123+'[2]balancete 2021'!J124+'[2]balancete 2021'!I64-'[2]balancete 2021'!J64</f>
        <v>223446.77000000043</v>
      </c>
      <c r="J14" s="44">
        <f>'[2]balancete 2021'!K123+'[2]balancete 2021'!K124+'[2]balancete 2021'!J64-'[2]balancete 2021'!K64</f>
        <v>307618.72999999975</v>
      </c>
      <c r="K14" s="44">
        <f>'[2]balancete 2021'!L123+'[2]balancete 2021'!L124+'[2]balancete 2021'!K64-'[2]balancete 2021'!L64</f>
        <v>287786.12999999966</v>
      </c>
      <c r="L14" s="44">
        <f>'[2]balancete 2021'!M123+'[2]balancete 2021'!M124+'[2]balancete 2021'!L64-'[2]balancete 2021'!M64</f>
        <v>162148.20000000013</v>
      </c>
      <c r="M14" s="44">
        <f>'[2]balancete 2021'!N123+'[2]balancete 2021'!N124+'[2]balancete 2021'!M64-'[2]balancete 2021'!N64</f>
        <v>732045.23</v>
      </c>
    </row>
    <row r="15" spans="1:27" s="33" customFormat="1" ht="12" x14ac:dyDescent="0.2">
      <c r="A15" s="33" t="s">
        <v>168</v>
      </c>
      <c r="B15" s="44">
        <f>-'[2]balancete 2021'!C109</f>
        <v>2282.96</v>
      </c>
      <c r="C15" s="44">
        <f>-'[2]balancete 2021'!D109</f>
        <v>1798.87</v>
      </c>
      <c r="D15" s="44">
        <f>-'[2]balancete 2021'!E109</f>
        <v>10969.76</v>
      </c>
      <c r="E15" s="44">
        <f>-'[2]balancete 2021'!F109</f>
        <v>44639.619999999995</v>
      </c>
      <c r="F15" s="44">
        <f>-'[2]balancete 2021'!G109</f>
        <v>21666.860000000008</v>
      </c>
      <c r="G15" s="44">
        <f>-'[2]balancete 2021'!H109</f>
        <v>2567.9199999999983</v>
      </c>
      <c r="H15" s="44">
        <f>-'[2]balancete 2021'!I109</f>
        <v>1704.6999999999971</v>
      </c>
      <c r="I15" s="44">
        <f>-'[2]balancete 2021'!J109</f>
        <v>1001.6499999999942</v>
      </c>
      <c r="J15" s="44">
        <f>-'[2]balancete 2021'!K109</f>
        <v>-14</v>
      </c>
      <c r="K15" s="44">
        <f>-'[2]balancete 2021'!L109</f>
        <v>744.55999999999767</v>
      </c>
      <c r="L15" s="44">
        <f>-'[2]balancete 2021'!M109</f>
        <v>51</v>
      </c>
      <c r="M15" s="44">
        <f>-'[2]balancete 2021'!N109</f>
        <v>-111</v>
      </c>
    </row>
    <row r="16" spans="1:27" s="30" customFormat="1" ht="12" x14ac:dyDescent="0.2">
      <c r="A16" s="52" t="s">
        <v>169</v>
      </c>
      <c r="B16" s="98">
        <f t="shared" ref="B16:M16" si="2">B7-B10</f>
        <v>-3798027.55</v>
      </c>
      <c r="C16" s="98">
        <f t="shared" si="2"/>
        <v>61144.89000000013</v>
      </c>
      <c r="D16" s="98">
        <f t="shared" si="2"/>
        <v>-58428.970000000671</v>
      </c>
      <c r="E16" s="98">
        <f t="shared" si="2"/>
        <v>12161.939999999478</v>
      </c>
      <c r="F16" s="98">
        <f t="shared" si="2"/>
        <v>509931.29000000004</v>
      </c>
      <c r="G16" s="98">
        <f t="shared" si="2"/>
        <v>-46877.909999998286</v>
      </c>
      <c r="H16" s="98">
        <f t="shared" si="2"/>
        <v>-523173.90000000317</v>
      </c>
      <c r="I16" s="98">
        <f t="shared" si="2"/>
        <v>165957.11000000034</v>
      </c>
      <c r="J16" s="98">
        <f t="shared" si="2"/>
        <v>-263325.50999999885</v>
      </c>
      <c r="K16" s="98">
        <f t="shared" si="2"/>
        <v>-698735.65999999875</v>
      </c>
      <c r="L16" s="98">
        <f t="shared" si="2"/>
        <v>-1111849.6200000076</v>
      </c>
      <c r="M16" s="98">
        <f t="shared" si="2"/>
        <v>2622396.9000000097</v>
      </c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</row>
    <row r="17" spans="1:27" s="30" customFormat="1" ht="12" x14ac:dyDescent="0.2"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</row>
    <row r="18" spans="1:27" s="33" customFormat="1" ht="12" x14ac:dyDescent="0.2"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</row>
    <row r="19" spans="1:27" s="33" customFormat="1" ht="12" x14ac:dyDescent="0.2">
      <c r="A19" s="30" t="s">
        <v>170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</row>
    <row r="20" spans="1:27" s="33" customFormat="1" ht="12" x14ac:dyDescent="0.2">
      <c r="A20" s="51" t="s">
        <v>160</v>
      </c>
      <c r="B20" s="97">
        <f t="shared" ref="B20:M20" si="3">B21</f>
        <v>314399.52</v>
      </c>
      <c r="C20" s="97">
        <f t="shared" si="3"/>
        <v>299852.39999999991</v>
      </c>
      <c r="D20" s="97">
        <f t="shared" si="3"/>
        <v>475751.34000000008</v>
      </c>
      <c r="E20" s="97">
        <f t="shared" si="3"/>
        <v>945749.45</v>
      </c>
      <c r="F20" s="97">
        <f t="shared" si="3"/>
        <v>255539.08999999985</v>
      </c>
      <c r="G20" s="97">
        <f t="shared" si="3"/>
        <v>358778.62000000011</v>
      </c>
      <c r="H20" s="97">
        <f t="shared" si="3"/>
        <v>474152.68000000017</v>
      </c>
      <c r="I20" s="97">
        <f t="shared" si="3"/>
        <v>587875.98999999976</v>
      </c>
      <c r="J20" s="97">
        <f t="shared" si="3"/>
        <v>275351.65000000037</v>
      </c>
      <c r="K20" s="97">
        <f t="shared" si="3"/>
        <v>890000.41999999993</v>
      </c>
      <c r="L20" s="97">
        <f t="shared" si="3"/>
        <v>359064.1799999997</v>
      </c>
      <c r="M20" s="97">
        <f t="shared" si="3"/>
        <v>606647.08000000007</v>
      </c>
    </row>
    <row r="21" spans="1:27" s="33" customFormat="1" ht="12" x14ac:dyDescent="0.2">
      <c r="A21" s="33" t="s">
        <v>171</v>
      </c>
      <c r="B21" s="44">
        <f>'[2]balancete 2021'!C133</f>
        <v>314399.52</v>
      </c>
      <c r="C21" s="44">
        <f>'[2]balancete 2021'!D133</f>
        <v>299852.39999999991</v>
      </c>
      <c r="D21" s="44">
        <f>'[2]balancete 2021'!E133</f>
        <v>475751.34000000008</v>
      </c>
      <c r="E21" s="44">
        <f>'[2]balancete 2021'!F133</f>
        <v>945749.45</v>
      </c>
      <c r="F21" s="44">
        <f>'[2]balancete 2021'!G133</f>
        <v>255539.08999999985</v>
      </c>
      <c r="G21" s="44">
        <f>'[2]balancete 2021'!H133</f>
        <v>358778.62000000011</v>
      </c>
      <c r="H21" s="44">
        <f>'[2]balancete 2021'!I133</f>
        <v>474152.68000000017</v>
      </c>
      <c r="I21" s="44">
        <f>'[2]balancete 2021'!J133</f>
        <v>587875.98999999976</v>
      </c>
      <c r="J21" s="44">
        <f>'[2]balancete 2021'!K133</f>
        <v>275351.65000000037</v>
      </c>
      <c r="K21" s="44">
        <f>'[2]balancete 2021'!L133</f>
        <v>890000.41999999993</v>
      </c>
      <c r="L21" s="44">
        <f>'[2]balancete 2021'!M133</f>
        <v>359064.1799999997</v>
      </c>
      <c r="M21" s="44">
        <f>'[2]balancete 2021'!N133</f>
        <v>606647.08000000007</v>
      </c>
    </row>
    <row r="22" spans="1:27" s="30" customFormat="1" ht="12" x14ac:dyDescent="0.2">
      <c r="A22" s="51" t="s">
        <v>163</v>
      </c>
      <c r="B22" s="97">
        <f t="shared" ref="B22:M22" si="4">B23</f>
        <v>0</v>
      </c>
      <c r="C22" s="97">
        <f t="shared" si="4"/>
        <v>0</v>
      </c>
      <c r="D22" s="97">
        <f t="shared" si="4"/>
        <v>0</v>
      </c>
      <c r="E22" s="97">
        <f t="shared" si="4"/>
        <v>0</v>
      </c>
      <c r="F22" s="97">
        <f t="shared" si="4"/>
        <v>0</v>
      </c>
      <c r="G22" s="97">
        <f t="shared" si="4"/>
        <v>0</v>
      </c>
      <c r="H22" s="97">
        <f t="shared" si="4"/>
        <v>0</v>
      </c>
      <c r="I22" s="97">
        <f t="shared" si="4"/>
        <v>0</v>
      </c>
      <c r="J22" s="97">
        <f t="shared" si="4"/>
        <v>0</v>
      </c>
      <c r="K22" s="97">
        <f t="shared" si="4"/>
        <v>0</v>
      </c>
      <c r="L22" s="97">
        <f t="shared" si="4"/>
        <v>0</v>
      </c>
      <c r="M22" s="97">
        <f t="shared" si="4"/>
        <v>0</v>
      </c>
    </row>
    <row r="23" spans="1:27" s="33" customFormat="1" ht="12" x14ac:dyDescent="0.2">
      <c r="A23" s="33" t="s">
        <v>172</v>
      </c>
      <c r="B23" s="44">
        <f>'[2]balancete 2021'!C138</f>
        <v>0</v>
      </c>
      <c r="C23" s="44">
        <f>'[2]balancete 2021'!D138</f>
        <v>0</v>
      </c>
      <c r="D23" s="44">
        <f>'[2]balancete 2021'!E138</f>
        <v>0</v>
      </c>
      <c r="E23" s="44">
        <f>'[2]balancete 2021'!F138</f>
        <v>0</v>
      </c>
      <c r="F23" s="44">
        <f>'[2]balancete 2021'!G138</f>
        <v>0</v>
      </c>
      <c r="G23" s="44">
        <f>'[2]balancete 2021'!H138</f>
        <v>0</v>
      </c>
      <c r="H23" s="44">
        <f>'[2]balancete 2021'!I138</f>
        <v>0</v>
      </c>
      <c r="I23" s="44">
        <f>'[2]balancete 2021'!J138</f>
        <v>0</v>
      </c>
      <c r="J23" s="44">
        <f>'[2]balancete 2021'!K138</f>
        <v>0</v>
      </c>
      <c r="K23" s="44">
        <f>'[2]balancete 2021'!L138</f>
        <v>0</v>
      </c>
      <c r="L23" s="44">
        <f>'[2]balancete 2021'!M138</f>
        <v>0</v>
      </c>
      <c r="M23" s="44">
        <f>'[2]balancete 2021'!N138</f>
        <v>0</v>
      </c>
    </row>
    <row r="24" spans="1:27" s="30" customFormat="1" ht="12" x14ac:dyDescent="0.2">
      <c r="A24" s="52" t="s">
        <v>173</v>
      </c>
      <c r="B24" s="98">
        <f t="shared" ref="B24:M24" si="5">B20-B22</f>
        <v>314399.52</v>
      </c>
      <c r="C24" s="98">
        <f t="shared" si="5"/>
        <v>299852.39999999991</v>
      </c>
      <c r="D24" s="98">
        <f t="shared" si="5"/>
        <v>475751.34000000008</v>
      </c>
      <c r="E24" s="98">
        <f t="shared" si="5"/>
        <v>945749.45</v>
      </c>
      <c r="F24" s="98">
        <f t="shared" si="5"/>
        <v>255539.08999999985</v>
      </c>
      <c r="G24" s="98">
        <f t="shared" si="5"/>
        <v>358778.62000000011</v>
      </c>
      <c r="H24" s="98">
        <f t="shared" si="5"/>
        <v>474152.68000000017</v>
      </c>
      <c r="I24" s="98">
        <f t="shared" si="5"/>
        <v>587875.98999999976</v>
      </c>
      <c r="J24" s="98">
        <f t="shared" si="5"/>
        <v>275351.65000000037</v>
      </c>
      <c r="K24" s="98">
        <f t="shared" si="5"/>
        <v>890000.41999999993</v>
      </c>
      <c r="L24" s="98">
        <f t="shared" si="5"/>
        <v>359064.1799999997</v>
      </c>
      <c r="M24" s="98">
        <f t="shared" si="5"/>
        <v>606647.08000000007</v>
      </c>
    </row>
    <row r="25" spans="1:27" s="30" customFormat="1" ht="12" x14ac:dyDescent="0.2">
      <c r="B25" s="97"/>
      <c r="C25" s="97"/>
      <c r="D25" s="97"/>
      <c r="E25" s="97"/>
      <c r="F25" s="97"/>
      <c r="G25" s="97"/>
      <c r="H25" s="97"/>
      <c r="I25" s="97"/>
      <c r="J25" s="97"/>
      <c r="K25" s="97"/>
      <c r="L25" s="97"/>
      <c r="M25" s="97"/>
    </row>
    <row r="26" spans="1:27" s="33" customFormat="1" ht="12" x14ac:dyDescent="0.2"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</row>
    <row r="27" spans="1:27" s="30" customFormat="1" ht="12" x14ac:dyDescent="0.2">
      <c r="A27" s="30" t="s">
        <v>174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</row>
    <row r="28" spans="1:27" s="30" customFormat="1" ht="12" x14ac:dyDescent="0.2">
      <c r="A28" s="51" t="s">
        <v>160</v>
      </c>
      <c r="B28" s="97">
        <f t="shared" ref="B28:H28" si="6">B29+B30</f>
        <v>83166.990000000224</v>
      </c>
      <c r="C28" s="97">
        <f t="shared" si="6"/>
        <v>83166.990000000224</v>
      </c>
      <c r="D28" s="97">
        <f t="shared" si="6"/>
        <v>83166.989999999292</v>
      </c>
      <c r="E28" s="97">
        <f t="shared" si="6"/>
        <v>83166.990000000224</v>
      </c>
      <c r="F28" s="97">
        <f t="shared" si="6"/>
        <v>83166.990000000224</v>
      </c>
      <c r="G28" s="97">
        <f t="shared" si="6"/>
        <v>83166.990000000224</v>
      </c>
      <c r="H28" s="97">
        <f t="shared" si="6"/>
        <v>83166.989999999292</v>
      </c>
      <c r="I28" s="97">
        <f>I29+I30</f>
        <v>83166.990000000224</v>
      </c>
      <c r="J28" s="97">
        <f>J29+J30</f>
        <v>83166.990000000224</v>
      </c>
      <c r="K28" s="97">
        <f>K29+K30</f>
        <v>83166.990000000224</v>
      </c>
      <c r="L28" s="97">
        <f>L29+L30</f>
        <v>83166.989999999292</v>
      </c>
      <c r="M28" s="97">
        <f>M29+M30</f>
        <v>319954.73000000045</v>
      </c>
    </row>
    <row r="29" spans="1:27" s="33" customFormat="1" ht="12" x14ac:dyDescent="0.2">
      <c r="A29" s="33" t="s">
        <v>175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</row>
    <row r="30" spans="1:27" s="33" customFormat="1" ht="12" x14ac:dyDescent="0.2">
      <c r="A30" s="33" t="s">
        <v>176</v>
      </c>
      <c r="B30" s="44">
        <f>'[2]balancete 2021'!C36-'[2]balancete 2021'!B36</f>
        <v>83166.990000000224</v>
      </c>
      <c r="C30" s="44">
        <f>'[2]balancete 2021'!D36-'[2]balancete 2021'!C36</f>
        <v>83166.990000000224</v>
      </c>
      <c r="D30" s="44">
        <f>'[2]balancete 2021'!E36-'[2]balancete 2021'!D36</f>
        <v>83166.989999999292</v>
      </c>
      <c r="E30" s="44">
        <f>'[2]balancete 2021'!F36-'[2]balancete 2021'!E36</f>
        <v>83166.990000000224</v>
      </c>
      <c r="F30" s="44">
        <f>'[2]balancete 2021'!G36-'[2]balancete 2021'!F36</f>
        <v>83166.990000000224</v>
      </c>
      <c r="G30" s="44">
        <f>'[2]balancete 2021'!H36-'[2]balancete 2021'!G36</f>
        <v>83166.990000000224</v>
      </c>
      <c r="H30" s="44">
        <f>'[2]balancete 2021'!I36-'[2]balancete 2021'!H36</f>
        <v>83166.989999999292</v>
      </c>
      <c r="I30" s="44">
        <f>'[2]balancete 2021'!J36-'[2]balancete 2021'!I36</f>
        <v>83166.990000000224</v>
      </c>
      <c r="J30" s="44">
        <f>'[2]balancete 2021'!K36-'[2]balancete 2021'!J36</f>
        <v>83166.990000000224</v>
      </c>
      <c r="K30" s="44">
        <f>'[2]balancete 2021'!L36-'[2]balancete 2021'!K36</f>
        <v>83166.990000000224</v>
      </c>
      <c r="L30" s="44">
        <f>'[2]balancete 2021'!M36-'[2]balancete 2021'!L36</f>
        <v>83166.989999999292</v>
      </c>
      <c r="M30" s="44">
        <f>'[2]balancete 2021'!N36-'[2]balancete 2021'!M36</f>
        <v>319954.73000000045</v>
      </c>
    </row>
    <row r="31" spans="1:27" s="30" customFormat="1" ht="12" x14ac:dyDescent="0.2">
      <c r="A31" s="51" t="s">
        <v>163</v>
      </c>
      <c r="B31" s="97">
        <f t="shared" ref="B31:H31" si="7">B32+B33</f>
        <v>166510.16000000015</v>
      </c>
      <c r="C31" s="97">
        <f t="shared" si="7"/>
        <v>298979.42000000179</v>
      </c>
      <c r="D31" s="97">
        <f t="shared" si="7"/>
        <v>116191.05000000075</v>
      </c>
      <c r="E31" s="97">
        <f t="shared" si="7"/>
        <v>602701.41999999806</v>
      </c>
      <c r="F31" s="97">
        <f t="shared" si="7"/>
        <v>359894.37000000104</v>
      </c>
      <c r="G31" s="97">
        <f t="shared" si="7"/>
        <v>77191.609999999404</v>
      </c>
      <c r="H31" s="97">
        <f t="shared" si="7"/>
        <v>568066.44999999925</v>
      </c>
      <c r="I31" s="97">
        <f>I32+I33</f>
        <v>88911.630000002682</v>
      </c>
      <c r="J31" s="97">
        <f>J32+J33</f>
        <v>296287.23999999836</v>
      </c>
      <c r="K31" s="97">
        <f>K32+K33</f>
        <v>219989.83000000194</v>
      </c>
      <c r="L31" s="97">
        <f>L32+L33</f>
        <v>128924.1099999994</v>
      </c>
      <c r="M31" s="97">
        <f>M32+M33</f>
        <v>-20958.989999999525</v>
      </c>
    </row>
    <row r="32" spans="1:27" s="33" customFormat="1" ht="12" x14ac:dyDescent="0.2">
      <c r="A32" s="33" t="s">
        <v>177</v>
      </c>
      <c r="B32" s="44">
        <f>'[2]balancete 2021'!C34+'[2]balancete 2021'!C35-'[2]balancete 2021'!B34-'[2]balancete 2021'!B35</f>
        <v>166510.16000000015</v>
      </c>
      <c r="C32" s="44">
        <f>'[2]balancete 2021'!D34+'[2]balancete 2021'!D35-'[2]balancete 2021'!C34-'[2]balancete 2021'!C35</f>
        <v>298979.42000000179</v>
      </c>
      <c r="D32" s="44">
        <f>'[2]balancete 2021'!E34+'[2]balancete 2021'!E35-'[2]balancete 2021'!D34-'[2]balancete 2021'!D35</f>
        <v>116191.05000000075</v>
      </c>
      <c r="E32" s="44">
        <f>'[2]balancete 2021'!F34+'[2]balancete 2021'!F35-'[2]balancete 2021'!E34-'[2]balancete 2021'!E35</f>
        <v>602701.41999999806</v>
      </c>
      <c r="F32" s="44">
        <f>'[2]balancete 2021'!G34+'[2]balancete 2021'!G35-'[2]balancete 2021'!F34-'[2]balancete 2021'!F35</f>
        <v>359894.37000000104</v>
      </c>
      <c r="G32" s="44">
        <f>'[2]balancete 2021'!H34+'[2]balancete 2021'!H35-'[2]balancete 2021'!G34-'[2]balancete 2021'!G35</f>
        <v>77191.609999999404</v>
      </c>
      <c r="H32" s="44">
        <f>'[2]balancete 2021'!I34+'[2]balancete 2021'!I35-'[2]balancete 2021'!H34-'[2]balancete 2021'!H35</f>
        <v>568066.44999999925</v>
      </c>
      <c r="I32" s="44">
        <f>'[2]balancete 2021'!J34+'[2]balancete 2021'!J35-'[2]balancete 2021'!I34-'[2]balancete 2021'!I35</f>
        <v>88911.630000002682</v>
      </c>
      <c r="J32" s="44">
        <f>'[2]balancete 2021'!K34+'[2]balancete 2021'!K35-'[2]balancete 2021'!J34-'[2]balancete 2021'!J35</f>
        <v>296287.23999999836</v>
      </c>
      <c r="K32" s="44">
        <f>'[2]balancete 2021'!L34+'[2]balancete 2021'!L35-'[2]balancete 2021'!K34-'[2]balancete 2021'!K35</f>
        <v>219989.83000000194</v>
      </c>
      <c r="L32" s="44">
        <f>'[2]balancete 2021'!M34+'[2]balancete 2021'!M35-'[2]balancete 2021'!L34-'[2]balancete 2021'!L35</f>
        <v>128924.1099999994</v>
      </c>
      <c r="M32" s="44">
        <f>'[2]balancete 2021'!N34+'[2]balancete 2021'!N35-'[2]balancete 2021'!M34-'[2]balancete 2021'!M35</f>
        <v>151386.3200000003</v>
      </c>
    </row>
    <row r="33" spans="1:15" s="33" customFormat="1" ht="12" x14ac:dyDescent="0.2">
      <c r="A33" s="33" t="s">
        <v>178</v>
      </c>
      <c r="B33" s="44">
        <f>'[2]balancete 2021'!C28-'[2]balancete 2021'!B28</f>
        <v>0</v>
      </c>
      <c r="C33" s="44">
        <f>'[2]balancete 2021'!D28-'[2]balancete 2021'!C28</f>
        <v>0</v>
      </c>
      <c r="D33" s="44">
        <f>'[2]balancete 2021'!E28-'[2]balancete 2021'!D28</f>
        <v>0</v>
      </c>
      <c r="E33" s="44">
        <f>'[2]balancete 2021'!F28-'[2]balancete 2021'!E28</f>
        <v>0</v>
      </c>
      <c r="F33" s="44">
        <f>'[2]balancete 2021'!G28-'[2]balancete 2021'!F28</f>
        <v>0</v>
      </c>
      <c r="G33" s="44">
        <f>'[2]balancete 2021'!H28-'[2]balancete 2021'!G28</f>
        <v>0</v>
      </c>
      <c r="H33" s="44">
        <f>'[2]balancete 2021'!I28-'[2]balancete 2021'!H28</f>
        <v>0</v>
      </c>
      <c r="I33" s="44">
        <f>'[2]balancete 2021'!J28-'[2]balancete 2021'!I28</f>
        <v>0</v>
      </c>
      <c r="J33" s="44">
        <f>'[2]balancete 2021'!K28-'[2]balancete 2021'!J28</f>
        <v>0</v>
      </c>
      <c r="K33" s="44">
        <f>'[2]balancete 2021'!L28-'[2]balancete 2021'!K28</f>
        <v>0</v>
      </c>
      <c r="L33" s="44">
        <f>'[2]balancete 2021'!M28-'[2]balancete 2021'!L28</f>
        <v>0</v>
      </c>
      <c r="M33" s="44">
        <f>'[2]balancete 2021'!N28-'[2]balancete 2021'!M28</f>
        <v>-172345.30999999982</v>
      </c>
    </row>
    <row r="34" spans="1:15" s="30" customFormat="1" ht="12" x14ac:dyDescent="0.2">
      <c r="A34" s="52" t="s">
        <v>179</v>
      </c>
      <c r="B34" s="98">
        <f t="shared" ref="B34:M34" si="8">B28-B31</f>
        <v>-83343.169999999925</v>
      </c>
      <c r="C34" s="98">
        <f t="shared" si="8"/>
        <v>-215812.43000000156</v>
      </c>
      <c r="D34" s="98">
        <f t="shared" si="8"/>
        <v>-33024.060000001453</v>
      </c>
      <c r="E34" s="98">
        <f t="shared" si="8"/>
        <v>-519534.42999999784</v>
      </c>
      <c r="F34" s="98">
        <f t="shared" si="8"/>
        <v>-276727.38000000082</v>
      </c>
      <c r="G34" s="98">
        <f t="shared" si="8"/>
        <v>5975.3800000008196</v>
      </c>
      <c r="H34" s="98">
        <f t="shared" si="8"/>
        <v>-484899.45999999996</v>
      </c>
      <c r="I34" s="98">
        <f t="shared" si="8"/>
        <v>-5744.6400000024587</v>
      </c>
      <c r="J34" s="98">
        <f t="shared" si="8"/>
        <v>-213120.24999999814</v>
      </c>
      <c r="K34" s="98">
        <f t="shared" si="8"/>
        <v>-136822.84000000171</v>
      </c>
      <c r="L34" s="98">
        <f t="shared" si="8"/>
        <v>-45757.120000000112</v>
      </c>
      <c r="M34" s="98">
        <f t="shared" si="8"/>
        <v>340913.72</v>
      </c>
    </row>
    <row r="35" spans="1:15" s="30" customFormat="1" ht="12" x14ac:dyDescent="0.2">
      <c r="B35" s="97"/>
      <c r="C35" s="97"/>
      <c r="D35" s="97"/>
      <c r="E35" s="97"/>
      <c r="F35" s="97"/>
      <c r="G35" s="97"/>
      <c r="H35" s="97"/>
      <c r="I35" s="97"/>
      <c r="J35" s="97"/>
      <c r="K35" s="97"/>
      <c r="L35" s="97"/>
      <c r="M35" s="97"/>
    </row>
    <row r="36" spans="1:15" s="30" customFormat="1" ht="12" x14ac:dyDescent="0.2">
      <c r="A36" s="33" t="s">
        <v>64</v>
      </c>
      <c r="B36" s="97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</row>
    <row r="37" spans="1:15" s="30" customFormat="1" ht="12" x14ac:dyDescent="0.2">
      <c r="A37" s="30" t="s">
        <v>180</v>
      </c>
      <c r="B37" s="97"/>
      <c r="C37" s="97"/>
      <c r="D37" s="97"/>
      <c r="E37" s="97"/>
      <c r="F37" s="97"/>
      <c r="G37" s="97"/>
      <c r="H37" s="97"/>
      <c r="I37" s="97"/>
      <c r="J37" s="97"/>
      <c r="K37" s="97"/>
      <c r="L37" s="97"/>
      <c r="M37" s="97"/>
    </row>
    <row r="38" spans="1:15" s="33" customFormat="1" ht="12" x14ac:dyDescent="0.2">
      <c r="A38" s="51" t="s">
        <v>160</v>
      </c>
      <c r="B38" s="97">
        <f t="shared" ref="B38:H38" si="9">B39+B40</f>
        <v>0</v>
      </c>
      <c r="C38" s="97">
        <f t="shared" si="9"/>
        <v>0</v>
      </c>
      <c r="D38" s="97">
        <f t="shared" si="9"/>
        <v>0</v>
      </c>
      <c r="E38" s="97">
        <f t="shared" si="9"/>
        <v>0</v>
      </c>
      <c r="F38" s="97">
        <f t="shared" si="9"/>
        <v>0</v>
      </c>
      <c r="G38" s="97">
        <f t="shared" si="9"/>
        <v>0</v>
      </c>
      <c r="H38" s="97">
        <f t="shared" si="9"/>
        <v>0</v>
      </c>
      <c r="I38" s="97">
        <f>I39+I40</f>
        <v>0</v>
      </c>
      <c r="J38" s="97">
        <f>J39+J40</f>
        <v>0</v>
      </c>
      <c r="K38" s="97">
        <f>K39+K40</f>
        <v>0</v>
      </c>
      <c r="L38" s="97">
        <f>L39+L40</f>
        <v>0</v>
      </c>
      <c r="M38" s="97">
        <f>M39+M40</f>
        <v>0</v>
      </c>
    </row>
    <row r="39" spans="1:15" s="30" customFormat="1" ht="12" x14ac:dyDescent="0.2">
      <c r="A39" s="33" t="s">
        <v>181</v>
      </c>
      <c r="B39" s="44">
        <v>0</v>
      </c>
      <c r="C39" s="44">
        <v>0</v>
      </c>
      <c r="D39" s="44">
        <v>0</v>
      </c>
      <c r="E39" s="44">
        <v>0</v>
      </c>
      <c r="F39" s="44">
        <v>0</v>
      </c>
      <c r="G39" s="44">
        <v>0</v>
      </c>
      <c r="H39" s="44">
        <v>0</v>
      </c>
      <c r="I39" s="44">
        <v>0</v>
      </c>
      <c r="J39" s="44">
        <v>0</v>
      </c>
      <c r="K39" s="44">
        <v>0</v>
      </c>
      <c r="L39" s="44">
        <v>0</v>
      </c>
      <c r="M39" s="44">
        <v>0</v>
      </c>
    </row>
    <row r="40" spans="1:15" s="33" customFormat="1" ht="12" x14ac:dyDescent="0.2">
      <c r="A40" s="33" t="s">
        <v>182</v>
      </c>
      <c r="B40" s="34">
        <v>0</v>
      </c>
      <c r="C40" s="34">
        <v>0</v>
      </c>
      <c r="D40" s="34">
        <v>0</v>
      </c>
      <c r="E40" s="34">
        <v>0</v>
      </c>
      <c r="F40" s="34">
        <v>0</v>
      </c>
      <c r="G40" s="34">
        <v>0</v>
      </c>
      <c r="H40" s="34">
        <v>0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</row>
    <row r="41" spans="1:15" s="30" customFormat="1" ht="12" x14ac:dyDescent="0.2">
      <c r="A41" s="51" t="s">
        <v>163</v>
      </c>
      <c r="B41" s="97">
        <f t="shared" ref="B41:H41" si="10">B42+B43+B44</f>
        <v>-225605.23000000045</v>
      </c>
      <c r="C41" s="97">
        <f t="shared" si="10"/>
        <v>-137013.63000000082</v>
      </c>
      <c r="D41" s="97">
        <f t="shared" si="10"/>
        <v>411384.78000000108</v>
      </c>
      <c r="E41" s="97">
        <f t="shared" si="10"/>
        <v>526977.64999999956</v>
      </c>
      <c r="F41" s="97">
        <f t="shared" si="10"/>
        <v>575642.57000000041</v>
      </c>
      <c r="G41" s="97">
        <f t="shared" si="10"/>
        <v>394041.55999999959</v>
      </c>
      <c r="H41" s="97">
        <f t="shared" si="10"/>
        <v>-604891.12</v>
      </c>
      <c r="I41" s="97">
        <f>I42+I43+I44</f>
        <v>615922.44000000018</v>
      </c>
      <c r="J41" s="97">
        <f>J42+J43+J44</f>
        <v>88249.980000000098</v>
      </c>
      <c r="K41" s="97">
        <f>K42+K43+K44</f>
        <v>-202797.98000000091</v>
      </c>
      <c r="L41" s="97">
        <f>L42+L43+L44</f>
        <v>-638222.64999999921</v>
      </c>
      <c r="M41" s="97">
        <f>M42+M43+M44</f>
        <v>2940770.2799999993</v>
      </c>
    </row>
    <row r="42" spans="1:15" s="33" customFormat="1" ht="12" x14ac:dyDescent="0.2">
      <c r="A42" s="33" t="s">
        <v>183</v>
      </c>
      <c r="B42" s="34">
        <f>'[2]balancete 2021'!B50+'[2]balancete 2021'!B71+'[2]balancete 2021'!B72+'[2]balancete 2021'!B81-'[2]balancete 2021'!C50-'[2]balancete 2021'!C71-'[2]balancete 2021'!C72-'[2]balancete 2021'!C81</f>
        <v>-365839.48000000045</v>
      </c>
      <c r="C42" s="34">
        <f>'[2]balancete 2021'!C50+'[2]balancete 2021'!C71+'[2]balancete 2021'!C72+'[2]balancete 2021'!C81-'[2]balancete 2021'!D50-'[2]balancete 2021'!D71-'[2]balancete 2021'!D72-'[2]balancete 2021'!D81</f>
        <v>-262997.38000000082</v>
      </c>
      <c r="D42" s="34">
        <f>'[2]balancete 2021'!D50+'[2]balancete 2021'!D71+'[2]balancete 2021'!D72+'[2]balancete 2021'!D81-'[2]balancete 2021'!E50-'[2]balancete 2021'!E71-'[2]balancete 2021'!E72-'[2]balancete 2021'!E81</f>
        <v>247694.45000000112</v>
      </c>
      <c r="E42" s="34">
        <f>'[2]balancete 2021'!E50+'[2]balancete 2021'!E71+'[2]balancete 2021'!E72+'[2]balancete 2021'!E81-'[2]balancete 2021'!F50-'[2]balancete 2021'!F71-'[2]balancete 2021'!F72-'[2]balancete 2021'!F81</f>
        <v>315090.43999999948</v>
      </c>
      <c r="F42" s="34">
        <f>'[2]balancete 2021'!F50+'[2]balancete 2021'!F71+'[2]balancete 2021'!F72+'[2]balancete 2021'!F81-'[2]balancete 2021'!G50-'[2]balancete 2021'!G71-'[2]balancete 2021'!G72-'[2]balancete 2021'!G81</f>
        <v>383586.06000000052</v>
      </c>
      <c r="G42" s="34">
        <f>'[2]balancete 2021'!G50+'[2]balancete 2021'!G71+'[2]balancete 2021'!G72+'[2]balancete 2021'!G81-'[2]balancete 2021'!H50-'[2]balancete 2021'!H71-'[2]balancete 2021'!H72-'[2]balancete 2021'!H81</f>
        <v>216219.93999999948</v>
      </c>
      <c r="H42" s="34">
        <f>'[2]balancete 2021'!H50+'[2]balancete 2021'!H71+'[2]balancete 2021'!H72+'[2]balancete 2021'!H81-'[2]balancete 2021'!I50-'[2]balancete 2021'!I71-'[2]balancete 2021'!I72-'[2]balancete 2021'!I81</f>
        <v>-880116.44999999972</v>
      </c>
      <c r="I42" s="34">
        <f>'[2]balancete 2021'!I50+'[2]balancete 2021'!I71+'[2]balancete 2021'!I72+'[2]balancete 2021'!I81-'[2]balancete 2021'!J50-'[2]balancete 2021'!J71-'[2]balancete 2021'!J72-'[2]balancete 2021'!J81</f>
        <v>471786.58999999985</v>
      </c>
      <c r="J42" s="34">
        <f>'[2]balancete 2021'!J50+'[2]balancete 2021'!J71+'[2]balancete 2021'!J72+'[2]balancete 2021'!J81-'[2]balancete 2021'!K50-'[2]balancete 2021'!K71-'[2]balancete 2021'!K72-'[2]balancete 2021'!K81</f>
        <v>-71187.169999999925</v>
      </c>
      <c r="K42" s="34">
        <f>'[2]balancete 2021'!K50+'[2]balancete 2021'!K71+'[2]balancete 2021'!K72+'[2]balancete 2021'!K81-'[2]balancete 2021'!L50-'[2]balancete 2021'!L71-'[2]balancete 2021'!L72-'[2]balancete 2021'!L81</f>
        <v>-492300.13000000082</v>
      </c>
      <c r="L42" s="34">
        <f>'[2]balancete 2021'!L50+'[2]balancete 2021'!L71+'[2]balancete 2021'!L72+'[2]balancete 2021'!L81-'[2]balancete 2021'!M50-'[2]balancete 2021'!M71-'[2]balancete 2021'!M72-'[2]balancete 2021'!M81</f>
        <v>-54554.189999999478</v>
      </c>
      <c r="M42" s="34">
        <f>'[2]balancete 2021'!M50+'[2]balancete 2021'!M71+'[2]balancete 2021'!M72+'[2]balancete 2021'!M81-'[2]balancete 2021'!N50-'[2]balancete 2021'!N71-'[2]balancete 2021'!N72-'[2]balancete 2021'!N81</f>
        <v>1476764.1399999997</v>
      </c>
      <c r="O42" s="46"/>
    </row>
    <row r="43" spans="1:15" s="33" customFormat="1" ht="12" x14ac:dyDescent="0.2">
      <c r="A43" s="33" t="s">
        <v>184</v>
      </c>
      <c r="B43" s="34">
        <f>'[2]balancete 2021'!C141-'[2]balancete 2021'!C143</f>
        <v>140234.25</v>
      </c>
      <c r="C43" s="34">
        <f>'[2]balancete 2021'!D141-'[2]balancete 2021'!D143</f>
        <v>125983.74999999999</v>
      </c>
      <c r="D43" s="34">
        <f>'[2]balancete 2021'!E141-'[2]balancete 2021'!E143</f>
        <v>163690.32999999999</v>
      </c>
      <c r="E43" s="34">
        <f>'[2]balancete 2021'!F141-'[2]balancete 2021'!F143</f>
        <v>206037.21000000005</v>
      </c>
      <c r="F43" s="34">
        <f>'[2]balancete 2021'!G141-'[2]balancete 2021'!G143</f>
        <v>192056.50999999992</v>
      </c>
      <c r="G43" s="34">
        <f>'[2]balancete 2021'!H141-'[2]balancete 2021'!H143</f>
        <v>177821.62000000008</v>
      </c>
      <c r="H43" s="34">
        <f>'[2]balancete 2021'!I141-'[2]balancete 2021'!I143</f>
        <v>275225.32999999973</v>
      </c>
      <c r="I43" s="34">
        <f>'[2]balancete 2021'!J141-'[2]balancete 2021'!J143</f>
        <v>144135.8500000003</v>
      </c>
      <c r="J43" s="34">
        <f>'[2]balancete 2021'!K141-'[2]balancete 2021'!K143</f>
        <v>159437.15000000002</v>
      </c>
      <c r="K43" s="34">
        <f>'[2]balancete 2021'!L141-'[2]balancete 2021'!L143</f>
        <v>289502.14999999991</v>
      </c>
      <c r="L43" s="34">
        <f>'[2]balancete 2021'!M141-'[2]balancete 2021'!M143</f>
        <v>199333.36000000019</v>
      </c>
      <c r="M43" s="34">
        <f>'[2]balancete 2021'!N141-'[2]balancete 2021'!N143</f>
        <v>104412.26999999976</v>
      </c>
    </row>
    <row r="44" spans="1:15" s="33" customFormat="1" ht="12" x14ac:dyDescent="0.2">
      <c r="A44" s="33" t="s">
        <v>185</v>
      </c>
      <c r="B44" s="44"/>
      <c r="C44" s="44"/>
      <c r="D44" s="44"/>
      <c r="E44" s="44">
        <v>5850</v>
      </c>
      <c r="F44" s="44"/>
      <c r="G44" s="44"/>
      <c r="H44" s="44"/>
      <c r="I44" s="44"/>
      <c r="J44" s="44"/>
      <c r="K44" s="44"/>
      <c r="L44" s="44">
        <v>-783001.82</v>
      </c>
      <c r="M44" s="44">
        <f>'[2]balancete 2021'!M50-'[2]balancete 2021'!N50+212848.12</f>
        <v>1359593.87</v>
      </c>
    </row>
    <row r="45" spans="1:15" s="30" customFormat="1" ht="12" x14ac:dyDescent="0.2">
      <c r="A45" s="52" t="s">
        <v>186</v>
      </c>
      <c r="B45" s="99">
        <f t="shared" ref="B45:M45" si="11">B38-B41</f>
        <v>225605.23000000045</v>
      </c>
      <c r="C45" s="99">
        <f t="shared" si="11"/>
        <v>137013.63000000082</v>
      </c>
      <c r="D45" s="99">
        <f t="shared" si="11"/>
        <v>-411384.78000000108</v>
      </c>
      <c r="E45" s="99">
        <f t="shared" si="11"/>
        <v>-526977.64999999956</v>
      </c>
      <c r="F45" s="99">
        <f t="shared" si="11"/>
        <v>-575642.57000000041</v>
      </c>
      <c r="G45" s="99">
        <f t="shared" si="11"/>
        <v>-394041.55999999959</v>
      </c>
      <c r="H45" s="99">
        <f t="shared" si="11"/>
        <v>604891.12</v>
      </c>
      <c r="I45" s="99">
        <f t="shared" si="11"/>
        <v>-615922.44000000018</v>
      </c>
      <c r="J45" s="99">
        <f t="shared" si="11"/>
        <v>-88249.980000000098</v>
      </c>
      <c r="K45" s="99">
        <f t="shared" si="11"/>
        <v>202797.98000000091</v>
      </c>
      <c r="L45" s="99">
        <f t="shared" si="11"/>
        <v>638222.64999999921</v>
      </c>
      <c r="M45" s="99">
        <f t="shared" si="11"/>
        <v>-2940770.2799999993</v>
      </c>
    </row>
    <row r="46" spans="1:15" s="30" customFormat="1" ht="12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</row>
    <row r="47" spans="1:15" s="30" customFormat="1" ht="12" x14ac:dyDescent="0.2">
      <c r="A47" s="30" t="s">
        <v>187</v>
      </c>
      <c r="B47" s="54">
        <f t="shared" ref="B47:M47" si="12">B16+B24+B34+B45</f>
        <v>-3341365.9699999993</v>
      </c>
      <c r="C47" s="54">
        <f t="shared" si="12"/>
        <v>282198.48999999929</v>
      </c>
      <c r="D47" s="54">
        <f t="shared" si="12"/>
        <v>-27086.470000003115</v>
      </c>
      <c r="E47" s="54">
        <f t="shared" si="12"/>
        <v>-88600.689999997965</v>
      </c>
      <c r="F47" s="54">
        <f t="shared" si="12"/>
        <v>-86899.570000001346</v>
      </c>
      <c r="G47" s="54">
        <f t="shared" si="12"/>
        <v>-76165.469999996945</v>
      </c>
      <c r="H47" s="54">
        <f t="shared" si="12"/>
        <v>70970.439999997034</v>
      </c>
      <c r="I47" s="54">
        <f t="shared" si="12"/>
        <v>132166.01999999746</v>
      </c>
      <c r="J47" s="54">
        <f t="shared" si="12"/>
        <v>-289344.08999999671</v>
      </c>
      <c r="K47" s="54">
        <f t="shared" si="12"/>
        <v>257239.90000000037</v>
      </c>
      <c r="L47" s="54">
        <f t="shared" si="12"/>
        <v>-160319.91000000876</v>
      </c>
      <c r="M47" s="54">
        <f t="shared" si="12"/>
        <v>629187.42000001017</v>
      </c>
    </row>
    <row r="48" spans="1:15" s="30" customFormat="1" ht="12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</row>
    <row r="49" spans="1:15" s="30" customFormat="1" ht="12" x14ac:dyDescent="0.2">
      <c r="A49" s="30" t="s">
        <v>188</v>
      </c>
      <c r="B49" s="54">
        <f>'[2]balancete 2021'!B7</f>
        <v>4765590.51</v>
      </c>
      <c r="C49" s="54">
        <f>'[2]balancete 2021'!C7</f>
        <v>2028031.56</v>
      </c>
      <c r="D49" s="54">
        <f>'[2]balancete 2021'!D7</f>
        <v>1706423.03</v>
      </c>
      <c r="E49" s="54">
        <f>'[2]balancete 2021'!E7</f>
        <v>1679336.56</v>
      </c>
      <c r="F49" s="54">
        <f>'[2]balancete 2021'!F7</f>
        <v>1590735.87</v>
      </c>
      <c r="G49" s="54">
        <f>'[2]balancete 2021'!G7</f>
        <v>1503836.3</v>
      </c>
      <c r="H49" s="54">
        <f>'[2]balancete 2021'!H7</f>
        <v>1427670.8299999998</v>
      </c>
      <c r="I49" s="54">
        <f>'[2]balancete 2021'!I7</f>
        <v>1498641.27</v>
      </c>
      <c r="J49" s="54">
        <f>'[2]balancete 2021'!J7</f>
        <v>1630807.2849999999</v>
      </c>
      <c r="K49" s="54">
        <f>'[2]balancete 2021'!K7</f>
        <v>1341463.21</v>
      </c>
      <c r="L49" s="54">
        <f>'[2]balancete 2021'!L7</f>
        <v>1598703.1</v>
      </c>
      <c r="M49" s="54">
        <f>'[2]balancete 2021'!M7</f>
        <v>1438383.19</v>
      </c>
      <c r="O49" s="45"/>
    </row>
    <row r="50" spans="1:15" s="30" customFormat="1" ht="12" x14ac:dyDescent="0.2">
      <c r="A50" s="52" t="s">
        <v>189</v>
      </c>
      <c r="B50" s="99">
        <f t="shared" ref="B50:M50" si="13">B47+B49</f>
        <v>1424224.5400000005</v>
      </c>
      <c r="C50" s="99">
        <f t="shared" si="13"/>
        <v>2310230.0499999993</v>
      </c>
      <c r="D50" s="99">
        <f t="shared" si="13"/>
        <v>1679336.5599999968</v>
      </c>
      <c r="E50" s="99">
        <f t="shared" si="13"/>
        <v>1590735.870000002</v>
      </c>
      <c r="F50" s="99">
        <f t="shared" si="13"/>
        <v>1503836.2999999989</v>
      </c>
      <c r="G50" s="99">
        <f t="shared" si="13"/>
        <v>1427670.8300000031</v>
      </c>
      <c r="H50" s="99">
        <f t="shared" si="13"/>
        <v>1498641.2699999968</v>
      </c>
      <c r="I50" s="99">
        <f t="shared" si="13"/>
        <v>1630807.2899999975</v>
      </c>
      <c r="J50" s="99">
        <f t="shared" si="13"/>
        <v>1341463.1950000031</v>
      </c>
      <c r="K50" s="99">
        <f t="shared" si="13"/>
        <v>1598703.1100000003</v>
      </c>
      <c r="L50" s="99">
        <f t="shared" si="13"/>
        <v>1438383.1899999913</v>
      </c>
      <c r="M50" s="99">
        <f t="shared" si="13"/>
        <v>2067570.6100000101</v>
      </c>
      <c r="O50" s="45"/>
    </row>
    <row r="51" spans="1:15" s="33" customFormat="1" ht="12" x14ac:dyDescent="0.2">
      <c r="A51" s="45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O51" s="56"/>
    </row>
    <row r="52" spans="1:15" s="33" customFormat="1" ht="12" x14ac:dyDescent="0.2">
      <c r="A52" s="82" t="str">
        <f>'[1]demonst de origens e recursos'!A46:I46</f>
        <v>Carazinho, 31 de dezembro de 2.021</v>
      </c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56"/>
    </row>
    <row r="53" spans="1:15" s="33" customFormat="1" ht="14.25" x14ac:dyDescent="0.2">
      <c r="A53" s="27"/>
      <c r="B53" s="12"/>
      <c r="C53" s="12"/>
      <c r="D53" s="12"/>
      <c r="E53" s="12"/>
      <c r="F53" s="12"/>
      <c r="G53" s="12"/>
      <c r="H53" s="12"/>
      <c r="I53" s="12"/>
      <c r="J53" s="46"/>
      <c r="K53" s="44"/>
      <c r="L53" s="46"/>
      <c r="M53" s="46"/>
    </row>
    <row r="54" spans="1:15" s="33" customFormat="1" ht="14.25" x14ac:dyDescent="0.2">
      <c r="A54" s="27"/>
      <c r="B54" s="12"/>
      <c r="C54" s="12"/>
      <c r="D54" s="12"/>
      <c r="E54" s="12"/>
      <c r="F54" s="12"/>
      <c r="G54" s="12"/>
      <c r="H54" s="12"/>
      <c r="I54" s="12"/>
      <c r="J54" s="56"/>
      <c r="K54" s="46"/>
      <c r="L54" s="46"/>
      <c r="M54" s="46"/>
    </row>
    <row r="55" spans="1:15" s="33" customFormat="1" ht="14.25" x14ac:dyDescent="0.2">
      <c r="A55" s="27"/>
      <c r="B55" s="2"/>
      <c r="C55" s="2" t="s">
        <v>221</v>
      </c>
      <c r="D55" s="12"/>
      <c r="E55" s="12"/>
      <c r="F55" s="12"/>
      <c r="G55" s="12"/>
      <c r="H55" s="2" t="s">
        <v>59</v>
      </c>
      <c r="I55" s="12"/>
      <c r="J55" s="53"/>
      <c r="K55" s="46"/>
      <c r="L55" s="46"/>
      <c r="M55" s="46"/>
    </row>
    <row r="56" spans="1:15" s="33" customFormat="1" ht="14.25" x14ac:dyDescent="0.2">
      <c r="A56" s="27"/>
      <c r="B56" s="2"/>
      <c r="C56" s="2" t="s">
        <v>222</v>
      </c>
      <c r="D56" s="12"/>
      <c r="E56" s="12"/>
      <c r="F56" s="12"/>
      <c r="G56" s="12"/>
      <c r="H56" s="2" t="s">
        <v>60</v>
      </c>
      <c r="I56" s="12"/>
      <c r="J56" s="34"/>
      <c r="K56" s="53"/>
      <c r="L56" s="46"/>
      <c r="M56" s="53"/>
    </row>
    <row r="57" spans="1:15" s="33" customFormat="1" ht="14.25" x14ac:dyDescent="0.2">
      <c r="A57" s="27"/>
      <c r="B57" s="24"/>
      <c r="C57" s="24" t="s">
        <v>223</v>
      </c>
      <c r="D57" s="12"/>
      <c r="E57" s="12"/>
      <c r="F57" s="12"/>
      <c r="G57" s="12"/>
      <c r="H57" s="2" t="s">
        <v>61</v>
      </c>
      <c r="I57" s="12"/>
      <c r="J57" s="57"/>
      <c r="K57" s="57"/>
      <c r="L57" s="55"/>
      <c r="M57" s="55"/>
    </row>
  </sheetData>
  <mergeCells count="2">
    <mergeCell ref="A2:M2"/>
    <mergeCell ref="A52:M52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J39"/>
  <sheetViews>
    <sheetView workbookViewId="0">
      <selection sqref="A1:XFD39"/>
    </sheetView>
  </sheetViews>
  <sheetFormatPr defaultRowHeight="15" x14ac:dyDescent="0.25"/>
  <cols>
    <col min="2" max="2" width="44.140625" bestFit="1" customWidth="1"/>
    <col min="4" max="4" width="15.7109375" bestFit="1" customWidth="1"/>
    <col min="6" max="6" width="15.7109375" bestFit="1" customWidth="1"/>
  </cols>
  <sheetData>
    <row r="1" spans="1:7" s="12" customFormat="1" ht="18" x14ac:dyDescent="0.25">
      <c r="A1" s="78" t="s">
        <v>0</v>
      </c>
      <c r="B1" s="78"/>
      <c r="C1" s="78"/>
      <c r="D1" s="78"/>
      <c r="E1" s="78"/>
      <c r="F1" s="78"/>
      <c r="G1" s="78"/>
    </row>
    <row r="2" spans="1:7" s="12" customFormat="1" ht="14.25" x14ac:dyDescent="0.2">
      <c r="A2" s="79" t="s">
        <v>1</v>
      </c>
      <c r="B2" s="79"/>
      <c r="C2" s="79"/>
      <c r="D2" s="79"/>
      <c r="E2" s="79"/>
      <c r="F2" s="79"/>
      <c r="G2" s="79"/>
    </row>
    <row r="3" spans="1:7" s="12" customFormat="1" ht="14.25" x14ac:dyDescent="0.2">
      <c r="A3" s="27"/>
      <c r="D3" s="13"/>
      <c r="E3" s="13"/>
      <c r="F3" s="13"/>
      <c r="G3" s="13"/>
    </row>
    <row r="4" spans="1:7" s="12" customFormat="1" ht="15.75" x14ac:dyDescent="0.25">
      <c r="A4" s="75" t="s">
        <v>190</v>
      </c>
      <c r="B4" s="75"/>
      <c r="C4" s="75"/>
      <c r="D4" s="75"/>
      <c r="E4" s="75"/>
      <c r="F4" s="75"/>
      <c r="G4" s="75"/>
    </row>
    <row r="5" spans="1:7" s="12" customFormat="1" ht="15.75" x14ac:dyDescent="0.25">
      <c r="A5" s="75" t="s">
        <v>134</v>
      </c>
      <c r="B5" s="75"/>
      <c r="C5" s="75"/>
      <c r="D5" s="75"/>
      <c r="E5" s="75"/>
      <c r="F5" s="75"/>
      <c r="G5" s="75"/>
    </row>
    <row r="6" spans="1:7" s="12" customFormat="1" ht="14.25" x14ac:dyDescent="0.2">
      <c r="A6" s="27"/>
      <c r="D6" s="13"/>
      <c r="E6" s="13"/>
      <c r="F6" s="13"/>
      <c r="G6" s="13"/>
    </row>
    <row r="7" spans="1:7" s="7" customFormat="1" x14ac:dyDescent="0.25">
      <c r="A7" s="7" t="s">
        <v>191</v>
      </c>
      <c r="D7" s="5">
        <v>44561</v>
      </c>
      <c r="E7" s="58" t="s">
        <v>4</v>
      </c>
      <c r="F7" s="5">
        <v>44196</v>
      </c>
      <c r="G7" s="58" t="s">
        <v>4</v>
      </c>
    </row>
    <row r="8" spans="1:7" s="27" customFormat="1" ht="14.25" x14ac:dyDescent="0.2">
      <c r="B8" s="27" t="s">
        <v>192</v>
      </c>
      <c r="D8" s="26">
        <f>'[1]balanço e dre '!F188</f>
        <v>55552253.370000005</v>
      </c>
      <c r="E8" s="59">
        <f>D8/D12*100</f>
        <v>90.392803803392781</v>
      </c>
      <c r="F8" s="26">
        <v>44731575.339999996</v>
      </c>
      <c r="G8" s="59">
        <v>87.947374617891995</v>
      </c>
    </row>
    <row r="9" spans="1:7" s="27" customFormat="1" ht="14.25" x14ac:dyDescent="0.2">
      <c r="B9" s="27" t="s">
        <v>193</v>
      </c>
      <c r="D9" s="26">
        <f>'[1]balanço e dre '!F224</f>
        <v>61084.1</v>
      </c>
      <c r="E9" s="59">
        <f>D9/D12*100</f>
        <v>9.9394043118845754E-2</v>
      </c>
      <c r="F9" s="26">
        <v>135780.73000000001</v>
      </c>
      <c r="G9" s="59">
        <v>0.26696038841543845</v>
      </c>
    </row>
    <row r="10" spans="1:7" s="27" customFormat="1" ht="14.25" x14ac:dyDescent="0.2">
      <c r="B10" s="27" t="s">
        <v>194</v>
      </c>
      <c r="D10" s="26">
        <f>'[1]balanço e dre '!F209</f>
        <v>5843162.4199999999</v>
      </c>
      <c r="E10" s="59">
        <f>D10/D12*100</f>
        <v>9.5078021534883721</v>
      </c>
      <c r="F10" s="26">
        <v>5994395.6700000009</v>
      </c>
      <c r="G10" s="59">
        <v>11.785664993692571</v>
      </c>
    </row>
    <row r="11" spans="1:7" s="27" customFormat="1" ht="14.25" x14ac:dyDescent="0.2">
      <c r="D11" s="26"/>
      <c r="E11" s="59"/>
      <c r="F11" s="26"/>
      <c r="G11" s="59"/>
    </row>
    <row r="12" spans="1:7" s="7" customFormat="1" x14ac:dyDescent="0.25">
      <c r="A12" s="7" t="s">
        <v>195</v>
      </c>
      <c r="D12" s="25">
        <f>SUM(D8:D11)</f>
        <v>61456499.890000008</v>
      </c>
      <c r="E12" s="31">
        <f>D12/D12*100</f>
        <v>100</v>
      </c>
      <c r="F12" s="25">
        <v>50861751.739999995</v>
      </c>
      <c r="G12" s="31">
        <v>100</v>
      </c>
    </row>
    <row r="13" spans="1:7" s="27" customFormat="1" ht="14.25" x14ac:dyDescent="0.2">
      <c r="D13" s="26"/>
      <c r="E13" s="59"/>
      <c r="F13" s="26"/>
      <c r="G13" s="59"/>
    </row>
    <row r="14" spans="1:7" s="7" customFormat="1" x14ac:dyDescent="0.25">
      <c r="A14" s="7" t="s">
        <v>196</v>
      </c>
      <c r="D14" s="25"/>
      <c r="E14" s="31"/>
      <c r="F14" s="25"/>
      <c r="G14" s="31"/>
    </row>
    <row r="15" spans="1:7" s="27" customFormat="1" ht="14.25" x14ac:dyDescent="0.2">
      <c r="B15" s="27" t="s">
        <v>197</v>
      </c>
      <c r="D15" s="26">
        <f>'[1]balanço e dre '!F196+'[1]balanço e dre '!F197</f>
        <v>15907986.719999999</v>
      </c>
      <c r="E15" s="59">
        <f>D15/D20*100</f>
        <v>41.698647810490925</v>
      </c>
      <c r="F15" s="26">
        <v>11463284.710000001</v>
      </c>
      <c r="G15" s="59">
        <v>38.131472203213249</v>
      </c>
    </row>
    <row r="16" spans="1:7" s="27" customFormat="1" ht="14.25" x14ac:dyDescent="0.2">
      <c r="B16" s="27" t="s">
        <v>198</v>
      </c>
      <c r="D16" s="26">
        <f>'[1]balanço e dre '!F193</f>
        <v>18527605.199999999</v>
      </c>
      <c r="E16" s="59">
        <f>D16/D$20*100</f>
        <v>48.565296011676601</v>
      </c>
      <c r="F16" s="26">
        <v>15553505.9</v>
      </c>
      <c r="G16" s="59">
        <v>51.737184663222344</v>
      </c>
    </row>
    <row r="17" spans="1:10" s="27" customFormat="1" ht="14.25" x14ac:dyDescent="0.2">
      <c r="B17" s="27" t="s">
        <v>199</v>
      </c>
      <c r="D17" s="26">
        <f>'[1]balanço e dre '!F198+'[1]balanço e dre '!F199-D26</f>
        <v>3714294.36</v>
      </c>
      <c r="E17" s="59">
        <f>D17/D$20*100</f>
        <v>9.736056177832463</v>
      </c>
      <c r="F17" s="26">
        <v>3043021.65</v>
      </c>
      <c r="G17" s="59">
        <v>10.122307732575814</v>
      </c>
    </row>
    <row r="18" spans="1:10" s="27" customFormat="1" ht="14.25" x14ac:dyDescent="0.2">
      <c r="B18" s="27" t="s">
        <v>200</v>
      </c>
      <c r="D18" s="26">
        <f>'[1]balanço e dre '!F218</f>
        <v>0</v>
      </c>
      <c r="E18" s="59">
        <f>D18/D$20*100</f>
        <v>0</v>
      </c>
      <c r="F18" s="26">
        <v>2716.27</v>
      </c>
      <c r="G18" s="59">
        <v>9.0354009886073963E-3</v>
      </c>
    </row>
    <row r="19" spans="1:10" s="27" customFormat="1" ht="14.25" x14ac:dyDescent="0.2">
      <c r="D19" s="26"/>
      <c r="E19" s="59"/>
      <c r="F19" s="26"/>
      <c r="G19" s="59"/>
    </row>
    <row r="20" spans="1:10" s="7" customFormat="1" x14ac:dyDescent="0.25">
      <c r="A20" s="7" t="s">
        <v>201</v>
      </c>
      <c r="D20" s="25">
        <f>SUM(D15:D18)</f>
        <v>38149886.280000001</v>
      </c>
      <c r="E20" s="31">
        <f>D20/D20*100</f>
        <v>100</v>
      </c>
      <c r="F20" s="25">
        <v>30062528.529999997</v>
      </c>
      <c r="G20" s="31">
        <v>100</v>
      </c>
    </row>
    <row r="21" spans="1:10" s="27" customFormat="1" ht="14.25" x14ac:dyDescent="0.2">
      <c r="D21" s="26"/>
      <c r="E21" s="59"/>
      <c r="F21" s="26"/>
      <c r="G21" s="59"/>
    </row>
    <row r="22" spans="1:10" s="27" customFormat="1" x14ac:dyDescent="0.25">
      <c r="A22" s="7" t="s">
        <v>202</v>
      </c>
      <c r="B22" s="7"/>
      <c r="C22" s="7"/>
      <c r="D22" s="25">
        <f>D12-D20</f>
        <v>23306613.610000007</v>
      </c>
      <c r="E22" s="31"/>
      <c r="F22" s="25">
        <v>20799223.209999997</v>
      </c>
      <c r="G22" s="31"/>
      <c r="J22" s="96"/>
    </row>
    <row r="23" spans="1:10" s="27" customFormat="1" ht="14.25" x14ac:dyDescent="0.2">
      <c r="D23" s="26"/>
      <c r="E23" s="59"/>
      <c r="F23" s="26"/>
      <c r="G23" s="59"/>
    </row>
    <row r="24" spans="1:10" s="7" customFormat="1" x14ac:dyDescent="0.25">
      <c r="A24" s="7" t="s">
        <v>203</v>
      </c>
      <c r="J24" s="88"/>
    </row>
    <row r="25" spans="1:10" s="27" customFormat="1" ht="14.25" x14ac:dyDescent="0.2">
      <c r="B25" s="27" t="s">
        <v>204</v>
      </c>
      <c r="D25" s="26">
        <f>'[1]balanço e dre '!F190</f>
        <v>20989366.100000001</v>
      </c>
      <c r="E25" s="59">
        <f>D25/D12*100</f>
        <v>34.153207777157057</v>
      </c>
      <c r="F25" s="26">
        <v>17723277.140000001</v>
      </c>
      <c r="G25" s="59">
        <v>34.845982557973144</v>
      </c>
    </row>
    <row r="26" spans="1:10" s="27" customFormat="1" ht="14.25" x14ac:dyDescent="0.2">
      <c r="B26" s="27" t="s">
        <v>205</v>
      </c>
      <c r="D26" s="26">
        <f>'[1]balanço e dre '!F205</f>
        <v>15965.02</v>
      </c>
      <c r="E26" s="59">
        <f>D26/D12*100</f>
        <v>2.5977756671101561E-2</v>
      </c>
      <c r="F26" s="26">
        <v>11786</v>
      </c>
      <c r="G26" s="59">
        <v>2.3172619103346677E-2</v>
      </c>
    </row>
    <row r="27" spans="1:10" s="27" customFormat="1" ht="14.25" x14ac:dyDescent="0.2">
      <c r="B27" s="27" t="s">
        <v>206</v>
      </c>
      <c r="D27" s="26">
        <f>'[1]balanço e dre '!F220</f>
        <v>2238953.88</v>
      </c>
      <c r="E27" s="59">
        <f>D27/D12*100</f>
        <v>3.6431522849616678</v>
      </c>
      <c r="F27" s="26">
        <v>2861897.56</v>
      </c>
      <c r="G27" s="59">
        <v>5.6268167377123071</v>
      </c>
    </row>
    <row r="28" spans="1:10" s="27" customFormat="1" ht="14.25" x14ac:dyDescent="0.2">
      <c r="B28" s="27" t="s">
        <v>207</v>
      </c>
      <c r="D28" s="26">
        <f>'[1]balanço e dre '!F225</f>
        <v>62328.610000013745</v>
      </c>
      <c r="E28" s="59">
        <f>D28/D12*100</f>
        <v>0.10141906895377172</v>
      </c>
      <c r="F28" s="26">
        <v>202262.50999999797</v>
      </c>
      <c r="G28" s="59">
        <v>0.39767114399429848</v>
      </c>
    </row>
    <row r="29" spans="1:10" s="27" customFormat="1" ht="14.25" x14ac:dyDescent="0.2">
      <c r="D29" s="26"/>
      <c r="E29" s="26"/>
      <c r="F29" s="26"/>
      <c r="G29" s="26"/>
    </row>
    <row r="30" spans="1:10" s="27" customFormat="1" x14ac:dyDescent="0.25">
      <c r="A30" s="7" t="s">
        <v>208</v>
      </c>
      <c r="D30" s="25">
        <f>SUM(D25:D28)</f>
        <v>23306613.610000014</v>
      </c>
      <c r="E30" s="31">
        <f>D30/D12*100</f>
        <v>37.9237568877436</v>
      </c>
      <c r="F30" s="25">
        <v>20799223.209999997</v>
      </c>
      <c r="G30" s="31">
        <v>40.893643058783091</v>
      </c>
    </row>
    <row r="31" spans="1:10" s="27" customFormat="1" ht="14.25" x14ac:dyDescent="0.2">
      <c r="D31" s="26"/>
      <c r="E31" s="26"/>
      <c r="F31" s="26"/>
      <c r="G31" s="26"/>
    </row>
    <row r="32" spans="1:10" s="27" customFormat="1" ht="14.25" x14ac:dyDescent="0.2">
      <c r="D32" s="26"/>
      <c r="E32" s="26"/>
      <c r="F32" s="26"/>
      <c r="G32" s="26"/>
    </row>
    <row r="33" spans="1:7" s="27" customFormat="1" ht="14.25" x14ac:dyDescent="0.2">
      <c r="D33" s="26"/>
      <c r="E33" s="26"/>
      <c r="F33" s="26"/>
      <c r="G33" s="26"/>
    </row>
    <row r="34" spans="1:7" s="27" customFormat="1" ht="14.25" x14ac:dyDescent="0.2">
      <c r="A34" s="79" t="str">
        <f>'[1]fluxo de caixa'!A52:M52</f>
        <v>Carazinho, 31 de dezembro de 2.021</v>
      </c>
      <c r="B34" s="79"/>
      <c r="C34" s="79"/>
      <c r="D34" s="79"/>
      <c r="E34" s="79"/>
      <c r="F34" s="79"/>
      <c r="G34" s="79"/>
    </row>
    <row r="35" spans="1:7" s="27" customFormat="1" ht="14.25" x14ac:dyDescent="0.2"/>
    <row r="36" spans="1:7" s="27" customFormat="1" ht="14.25" x14ac:dyDescent="0.2"/>
    <row r="37" spans="1:7" s="27" customFormat="1" ht="14.25" x14ac:dyDescent="0.2">
      <c r="B37" s="2" t="s">
        <v>221</v>
      </c>
      <c r="C37" s="2"/>
      <c r="D37" s="12"/>
      <c r="E37" s="77" t="s">
        <v>59</v>
      </c>
      <c r="F37" s="77"/>
    </row>
    <row r="38" spans="1:7" s="27" customFormat="1" ht="14.25" x14ac:dyDescent="0.2">
      <c r="B38" s="2" t="s">
        <v>222</v>
      </c>
      <c r="C38" s="2"/>
      <c r="D38" s="12"/>
      <c r="E38" s="77" t="s">
        <v>60</v>
      </c>
      <c r="F38" s="77"/>
    </row>
    <row r="39" spans="1:7" s="27" customFormat="1" ht="14.25" x14ac:dyDescent="0.2">
      <c r="B39" s="24" t="s">
        <v>223</v>
      </c>
      <c r="C39" s="24"/>
      <c r="D39" s="12"/>
      <c r="E39" s="77" t="s">
        <v>61</v>
      </c>
      <c r="F39" s="77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H24"/>
  <sheetViews>
    <sheetView workbookViewId="0">
      <selection sqref="A1:XFD24"/>
    </sheetView>
  </sheetViews>
  <sheetFormatPr defaultRowHeight="15" x14ac:dyDescent="0.25"/>
  <cols>
    <col min="1" max="1" width="32.140625" bestFit="1" customWidth="1"/>
    <col min="2" max="2" width="14.85546875" bestFit="1" customWidth="1"/>
    <col min="3" max="3" width="16.7109375" bestFit="1" customWidth="1"/>
    <col min="4" max="4" width="22.42578125" bestFit="1" customWidth="1"/>
    <col min="5" max="5" width="14.5703125" bestFit="1" customWidth="1"/>
  </cols>
  <sheetData>
    <row r="1" spans="1:8" s="12" customFormat="1" ht="18" x14ac:dyDescent="0.25">
      <c r="A1" s="78" t="s">
        <v>0</v>
      </c>
      <c r="B1" s="78"/>
      <c r="C1" s="78"/>
      <c r="D1" s="78"/>
      <c r="E1" s="78"/>
      <c r="G1" s="13"/>
    </row>
    <row r="2" spans="1:8" s="12" customFormat="1" ht="14.25" x14ac:dyDescent="0.2">
      <c r="A2" s="79" t="s">
        <v>1</v>
      </c>
      <c r="B2" s="79"/>
      <c r="C2" s="79"/>
      <c r="D2" s="79"/>
      <c r="E2" s="79"/>
      <c r="G2" s="13"/>
    </row>
    <row r="3" spans="1:8" s="12" customFormat="1" ht="12.75" x14ac:dyDescent="0.2">
      <c r="G3" s="13"/>
    </row>
    <row r="4" spans="1:8" s="12" customFormat="1" ht="15.75" x14ac:dyDescent="0.25">
      <c r="A4" s="75" t="s">
        <v>209</v>
      </c>
      <c r="B4" s="75"/>
      <c r="C4" s="75"/>
      <c r="D4" s="75"/>
      <c r="E4" s="75"/>
      <c r="G4" s="13"/>
    </row>
    <row r="5" spans="1:8" s="12" customFormat="1" ht="12.75" x14ac:dyDescent="0.2">
      <c r="G5" s="13"/>
    </row>
    <row r="6" spans="1:8" s="12" customFormat="1" ht="13.5" thickBot="1" x14ac:dyDescent="0.25">
      <c r="G6" s="13"/>
    </row>
    <row r="7" spans="1:8" s="4" customFormat="1" x14ac:dyDescent="0.25">
      <c r="A7" s="60" t="s">
        <v>210</v>
      </c>
      <c r="B7" s="60" t="s">
        <v>211</v>
      </c>
      <c r="C7" s="60" t="s">
        <v>212</v>
      </c>
      <c r="D7" s="60" t="s">
        <v>213</v>
      </c>
      <c r="E7" s="60" t="s">
        <v>214</v>
      </c>
      <c r="G7" s="31"/>
    </row>
    <row r="8" spans="1:8" s="4" customFormat="1" ht="15.75" thickBot="1" x14ac:dyDescent="0.3">
      <c r="A8" s="61"/>
      <c r="B8" s="62" t="s">
        <v>215</v>
      </c>
      <c r="C8" s="62" t="s">
        <v>216</v>
      </c>
      <c r="D8" s="62" t="s">
        <v>217</v>
      </c>
      <c r="E8" s="62"/>
      <c r="G8" s="31"/>
    </row>
    <row r="9" spans="1:8" s="27" customFormat="1" x14ac:dyDescent="0.25">
      <c r="A9" s="63" t="s">
        <v>227</v>
      </c>
      <c r="B9" s="64">
        <f>'[1]balanço e dre '!H108</f>
        <v>1306718.3600000001</v>
      </c>
      <c r="C9" s="64">
        <v>0</v>
      </c>
      <c r="D9" s="64">
        <f>'[1]balanço e dre '!H109</f>
        <v>1181626.19</v>
      </c>
      <c r="E9" s="65">
        <f>SUM(B9:D9)</f>
        <v>2488344.5499999998</v>
      </c>
      <c r="G9" s="26"/>
      <c r="H9" s="96"/>
    </row>
    <row r="10" spans="1:8" s="27" customFormat="1" ht="14.25" x14ac:dyDescent="0.2">
      <c r="A10" s="66" t="s">
        <v>218</v>
      </c>
      <c r="B10" s="67">
        <v>0</v>
      </c>
      <c r="C10" s="67">
        <v>0</v>
      </c>
      <c r="D10" s="67">
        <f>'[1]demonst de origens e recursos'!G11</f>
        <v>233621.87999999998</v>
      </c>
      <c r="E10" s="68"/>
      <c r="G10" s="26"/>
    </row>
    <row r="11" spans="1:8" s="27" customFormat="1" ht="14.25" x14ac:dyDescent="0.2">
      <c r="A11" s="66" t="s">
        <v>219</v>
      </c>
      <c r="B11" s="67">
        <v>0</v>
      </c>
      <c r="C11" s="67">
        <v>0</v>
      </c>
      <c r="D11" s="67">
        <f>'[1]balanço e dre '!F225</f>
        <v>62328.610000013745</v>
      </c>
      <c r="E11" s="68"/>
      <c r="F11" s="96"/>
      <c r="G11" s="26"/>
      <c r="H11" s="96"/>
    </row>
    <row r="12" spans="1:8" s="27" customFormat="1" ht="14.25" x14ac:dyDescent="0.2">
      <c r="A12" s="66"/>
      <c r="B12" s="67"/>
      <c r="C12" s="67"/>
      <c r="D12" s="67"/>
      <c r="E12" s="68"/>
      <c r="G12" s="26"/>
    </row>
    <row r="13" spans="1:8" s="7" customFormat="1" x14ac:dyDescent="0.25">
      <c r="A13" s="69" t="s">
        <v>228</v>
      </c>
      <c r="B13" s="70">
        <f>B9+C9</f>
        <v>1306718.3600000001</v>
      </c>
      <c r="C13" s="70">
        <v>0</v>
      </c>
      <c r="D13" s="70">
        <f>D9+D11+D10</f>
        <v>1477576.6800000137</v>
      </c>
      <c r="E13" s="71">
        <f>SUM(B13:D13)</f>
        <v>2784295.040000014</v>
      </c>
      <c r="G13" s="25"/>
    </row>
    <row r="14" spans="1:8" s="27" customFormat="1" thickBot="1" x14ac:dyDescent="0.25">
      <c r="A14" s="72"/>
      <c r="B14" s="73"/>
      <c r="C14" s="73"/>
      <c r="D14" s="73"/>
      <c r="E14" s="74"/>
      <c r="G14" s="26"/>
    </row>
    <row r="15" spans="1:8" s="27" customFormat="1" ht="14.25" x14ac:dyDescent="0.2">
      <c r="G15" s="26"/>
    </row>
    <row r="16" spans="1:8" s="27" customFormat="1" ht="14.25" x14ac:dyDescent="0.2">
      <c r="E16" s="32"/>
      <c r="G16" s="26"/>
    </row>
    <row r="17" spans="1:7" s="27" customFormat="1" ht="14.25" x14ac:dyDescent="0.2">
      <c r="D17" s="32"/>
      <c r="E17" s="32"/>
      <c r="G17" s="26"/>
    </row>
    <row r="18" spans="1:7" s="27" customFormat="1" ht="14.25" x14ac:dyDescent="0.2">
      <c r="E18" s="32"/>
      <c r="G18" s="26"/>
    </row>
    <row r="19" spans="1:7" s="27" customFormat="1" ht="14.25" x14ac:dyDescent="0.2">
      <c r="A19" s="79" t="str">
        <f>'[1]valor adicionado'!A34:G34</f>
        <v>Carazinho, 31 de dezembro de 2.021</v>
      </c>
      <c r="B19" s="79"/>
      <c r="C19" s="79"/>
      <c r="D19" s="79"/>
      <c r="E19" s="79"/>
      <c r="G19" s="26"/>
    </row>
    <row r="20" spans="1:7" s="27" customFormat="1" x14ac:dyDescent="0.25">
      <c r="G20" s="31"/>
    </row>
    <row r="21" spans="1:7" s="27" customFormat="1" x14ac:dyDescent="0.25">
      <c r="G21" s="31"/>
    </row>
    <row r="22" spans="1:7" s="27" customFormat="1" ht="14.25" x14ac:dyDescent="0.2">
      <c r="A22" s="2" t="s">
        <v>221</v>
      </c>
      <c r="B22" s="2"/>
      <c r="C22" s="12"/>
      <c r="D22" s="77" t="s">
        <v>59</v>
      </c>
      <c r="E22" s="77"/>
      <c r="G22" s="26"/>
    </row>
    <row r="23" spans="1:7" s="27" customFormat="1" ht="14.25" x14ac:dyDescent="0.2">
      <c r="A23" s="2" t="s">
        <v>222</v>
      </c>
      <c r="B23" s="2"/>
      <c r="C23" s="12"/>
      <c r="D23" s="77" t="s">
        <v>60</v>
      </c>
      <c r="E23" s="77"/>
      <c r="G23" s="26"/>
    </row>
    <row r="24" spans="1:7" s="27" customFormat="1" ht="14.25" x14ac:dyDescent="0.2">
      <c r="A24" s="24" t="s">
        <v>223</v>
      </c>
      <c r="B24" s="24"/>
      <c r="C24" s="12"/>
      <c r="D24" s="77" t="s">
        <v>61</v>
      </c>
      <c r="E24" s="77"/>
      <c r="G24" s="26"/>
    </row>
  </sheetData>
  <mergeCells count="7">
    <mergeCell ref="D24:E24"/>
    <mergeCell ref="A1:E1"/>
    <mergeCell ref="A2:E2"/>
    <mergeCell ref="A4:E4"/>
    <mergeCell ref="A19:E19"/>
    <mergeCell ref="D22:E22"/>
    <mergeCell ref="D23:E2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2026-03-30T20:26:37Z</dcterms:modified>
</cp:coreProperties>
</file>