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13_ncr:1_{C14D137A-9D62-47F3-BF98-3669CAA76595}" xr6:coauthVersionLast="47" xr6:coauthVersionMax="47" xr10:uidLastSave="{00000000-0000-0000-0000-000000000000}"/>
  <bookViews>
    <workbookView xWindow="-120" yWindow="-120" windowWidth="29040" windowHeight="15720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9" i="5" l="1"/>
  <c r="D11" i="5"/>
  <c r="D9" i="5"/>
  <c r="D13" i="5" s="1"/>
  <c r="B9" i="5"/>
  <c r="B13" i="5" s="1"/>
  <c r="E13" i="5" s="1"/>
  <c r="A34" i="4"/>
  <c r="D28" i="4"/>
  <c r="E28" i="4" s="1"/>
  <c r="D27" i="4"/>
  <c r="E27" i="4" s="1"/>
  <c r="D26" i="4"/>
  <c r="D17" i="4" s="1"/>
  <c r="D25" i="4"/>
  <c r="D30" i="4" s="1"/>
  <c r="E30" i="4" s="1"/>
  <c r="D18" i="4"/>
  <c r="D16" i="4"/>
  <c r="E16" i="4" s="1"/>
  <c r="D15" i="4"/>
  <c r="D20" i="4" s="1"/>
  <c r="D12" i="4"/>
  <c r="E12" i="4" s="1"/>
  <c r="D10" i="4"/>
  <c r="E10" i="4" s="1"/>
  <c r="D9" i="4"/>
  <c r="E9" i="4" s="1"/>
  <c r="D8" i="4"/>
  <c r="A46" i="2"/>
  <c r="H42" i="2"/>
  <c r="H41" i="2"/>
  <c r="H40" i="2"/>
  <c r="H36" i="2"/>
  <c r="F36" i="2"/>
  <c r="F35" i="2"/>
  <c r="F37" i="2" s="1"/>
  <c r="H37" i="2" s="1"/>
  <c r="H29" i="2"/>
  <c r="H28" i="2"/>
  <c r="G24" i="2"/>
  <c r="G23" i="2"/>
  <c r="G28" i="2" s="1"/>
  <c r="H19" i="2"/>
  <c r="G16" i="2"/>
  <c r="G15" i="2"/>
  <c r="G13" i="2"/>
  <c r="G11" i="2"/>
  <c r="G10" i="2"/>
  <c r="G19" i="2" s="1"/>
  <c r="I212" i="1"/>
  <c r="F211" i="1"/>
  <c r="I210" i="1"/>
  <c r="F210" i="1"/>
  <c r="F209" i="1"/>
  <c r="F208" i="1"/>
  <c r="F207" i="1" s="1"/>
  <c r="I207" i="1"/>
  <c r="F206" i="1"/>
  <c r="F205" i="1" s="1"/>
  <c r="F204" i="1"/>
  <c r="F200" i="1"/>
  <c r="F199" i="1"/>
  <c r="F198" i="1"/>
  <c r="F197" i="1"/>
  <c r="I196" i="1"/>
  <c r="F196" i="1"/>
  <c r="F195" i="1"/>
  <c r="F194" i="1"/>
  <c r="I193" i="1"/>
  <c r="F192" i="1"/>
  <c r="F188" i="1"/>
  <c r="F187" i="1"/>
  <c r="I186" i="1"/>
  <c r="F186" i="1"/>
  <c r="G186" i="1" s="1"/>
  <c r="I185" i="1"/>
  <c r="F185" i="1"/>
  <c r="I184" i="1"/>
  <c r="F184" i="1"/>
  <c r="I183" i="1"/>
  <c r="F183" i="1"/>
  <c r="F182" i="1"/>
  <c r="F181" i="1"/>
  <c r="I180" i="1"/>
  <c r="F180" i="1"/>
  <c r="F176" i="1" s="1"/>
  <c r="G176" i="1" s="1"/>
  <c r="F179" i="1"/>
  <c r="F178" i="1"/>
  <c r="I177" i="1"/>
  <c r="F177" i="1"/>
  <c r="I176" i="1"/>
  <c r="I175" i="1"/>
  <c r="F174" i="1"/>
  <c r="F173" i="1" s="1"/>
  <c r="I173" i="1"/>
  <c r="I172" i="1"/>
  <c r="F172" i="1"/>
  <c r="I171" i="1"/>
  <c r="F171" i="1"/>
  <c r="G171" i="1" s="1"/>
  <c r="I170" i="1"/>
  <c r="F170" i="1"/>
  <c r="G170" i="1" s="1"/>
  <c r="F169" i="1"/>
  <c r="F168" i="1"/>
  <c r="F167" i="1"/>
  <c r="F166" i="1"/>
  <c r="I165" i="1"/>
  <c r="F165" i="1"/>
  <c r="I164" i="1"/>
  <c r="F164" i="1"/>
  <c r="F161" i="1" s="1"/>
  <c r="I163" i="1"/>
  <c r="F163" i="1"/>
  <c r="F162" i="1" s="1"/>
  <c r="I161" i="1"/>
  <c r="A104" i="1"/>
  <c r="A216" i="1" s="1"/>
  <c r="F96" i="1"/>
  <c r="F92" i="1" s="1"/>
  <c r="F95" i="1"/>
  <c r="F94" i="1"/>
  <c r="F93" i="1" s="1"/>
  <c r="F90" i="1"/>
  <c r="F87" i="1"/>
  <c r="F86" i="1"/>
  <c r="F85" i="1"/>
  <c r="F84" i="1"/>
  <c r="F80" i="1" s="1"/>
  <c r="F83" i="1"/>
  <c r="F81" i="1"/>
  <c r="F59" i="1"/>
  <c r="F57" i="1"/>
  <c r="F56" i="1"/>
  <c r="F55" i="1"/>
  <c r="F54" i="1"/>
  <c r="F53" i="1"/>
  <c r="F52" i="1"/>
  <c r="F41" i="1" s="1"/>
  <c r="F51" i="1"/>
  <c r="F50" i="1"/>
  <c r="F49" i="1"/>
  <c r="F48" i="1"/>
  <c r="F47" i="1"/>
  <c r="F46" i="1"/>
  <c r="F45" i="1"/>
  <c r="F44" i="1"/>
  <c r="F43" i="1"/>
  <c r="F42" i="1"/>
  <c r="F38" i="1"/>
  <c r="F34" i="1"/>
  <c r="F33" i="1" s="1"/>
  <c r="F31" i="1"/>
  <c r="F23" i="1"/>
  <c r="F22" i="1"/>
  <c r="F20" i="1"/>
  <c r="F18" i="1"/>
  <c r="F17" i="1"/>
  <c r="F16" i="1"/>
  <c r="F14" i="1"/>
  <c r="F13" i="1" s="1"/>
  <c r="F12" i="1"/>
  <c r="F10" i="1"/>
  <c r="F9" i="1"/>
  <c r="F8" i="1"/>
  <c r="E9" i="5" l="1"/>
  <c r="E20" i="4"/>
  <c r="E18" i="4"/>
  <c r="E17" i="4"/>
  <c r="E25" i="4"/>
  <c r="E15" i="4"/>
  <c r="E26" i="4"/>
  <c r="E8" i="4"/>
  <c r="D22" i="4"/>
  <c r="G29" i="2"/>
  <c r="H35" i="2"/>
  <c r="F175" i="1"/>
  <c r="G161" i="1"/>
  <c r="G172" i="1"/>
  <c r="G163" i="1"/>
  <c r="G185" i="1"/>
  <c r="F7" i="1"/>
  <c r="G207" i="1"/>
  <c r="G165" i="1"/>
  <c r="G183" i="1"/>
  <c r="G173" i="1"/>
  <c r="G210" i="1"/>
  <c r="G184" i="1"/>
  <c r="G196" i="1"/>
  <c r="G177" i="1"/>
  <c r="G180" i="1"/>
  <c r="G164" i="1"/>
  <c r="F62" i="1" l="1"/>
  <c r="F193" i="1"/>
  <c r="G175" i="1"/>
  <c r="G193" i="1" l="1"/>
  <c r="F212" i="1"/>
  <c r="G62" i="1"/>
  <c r="G8" i="1"/>
  <c r="G33" i="1"/>
  <c r="G13" i="1"/>
  <c r="G41" i="1"/>
  <c r="G57" i="1"/>
  <c r="G23" i="1"/>
  <c r="G7" i="1"/>
  <c r="G212" i="1" l="1"/>
  <c r="F99" i="1"/>
  <c r="F97" i="1" s="1"/>
  <c r="F100" i="1" l="1"/>
  <c r="G97" i="1"/>
  <c r="G100" i="1" l="1"/>
  <c r="G92" i="1"/>
  <c r="G80" i="1"/>
</calcChain>
</file>

<file path=xl/sharedStrings.xml><?xml version="1.0" encoding="utf-8"?>
<sst xmlns="http://schemas.openxmlformats.org/spreadsheetml/2006/main" count="256" uniqueCount="196">
  <si>
    <t>HOSPITAL DE CARIDADE DE CARAZINHO</t>
  </si>
  <si>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</si>
  <si>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</si>
  <si>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</si>
  <si>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</si>
  <si>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</si>
  <si>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</si>
  <si>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</si>
  <si>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</si>
  <si>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Banco Brasil - PRONOM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</si>
  <si>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</si>
  <si>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</si>
  <si>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</si>
  <si>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</si>
  <si>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</si>
  <si>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</si>
  <si>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</si>
  <si>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</si>
  <si>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</si>
  <si>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</si>
  <si>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</si>
  <si>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</si>
  <si>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</si>
  <si>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</si>
  <si>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</si>
  <si>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</si>
  <si>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</si>
  <si>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</si>
  <si>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</si>
  <si>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</si>
  <si>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</si>
  <si>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</si>
  <si>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</si>
  <si>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Fundo de Reserva de Consórcios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</si>
  <si>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</si>
  <si>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</si>
  <si>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</si>
  <si>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</si>
  <si>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</si>
  <si>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</si>
  <si>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</si>
  <si>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</si>
  <si>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</si>
  <si>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</si>
  <si>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</si>
  <si>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</si>
  <si>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</si>
  <si>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</si>
  <si>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</si>
  <si>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</si>
  <si>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</si>
  <si>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</si>
  <si>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</si>
  <si>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</si>
  <si>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Imóveis Bairro São Lucas</t>
  </si>
  <si>
    <t>Imóveis</t>
  </si>
  <si>
    <t>( - ) Depreciação Acumulada de Bens</t>
  </si>
  <si>
    <t>TOTAL DO ATIVO</t>
  </si>
  <si>
    <t>José Armando Lubian</t>
  </si>
  <si>
    <t>Contador CRC-RS 65.661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</si>
  <si>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</si>
  <si>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</si>
  <si>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</si>
  <si>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</si>
  <si>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</si>
  <si>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</si>
  <si>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</si>
  <si>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</si>
  <si>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</si>
  <si>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</si>
  <si>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Adiantamento de Clientes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</si>
  <si>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</si>
  <si>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</si>
  <si>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</si>
  <si>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</si>
  <si>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</si>
  <si>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</si>
  <si>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</si>
  <si>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</si>
  <si>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</si>
  <si>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</si>
  <si>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</si>
  <si>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</si>
  <si>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</si>
  <si>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</si>
  <si>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Assistência Médica - SUS</t>
  </si>
  <si>
    <t>(+) SUS - Ambulatório</t>
  </si>
  <si>
    <t>(+) Convênios</t>
  </si>
  <si>
    <t xml:space="preserve">      Pacientes Ipergs</t>
  </si>
  <si>
    <t xml:space="preserve">      Pacientes Unimed</t>
  </si>
  <si>
    <t xml:space="preserve">      Pacientes Capsem</t>
  </si>
  <si>
    <t xml:space="preserve">      Pacientes Outros Convênios</t>
  </si>
  <si>
    <t>(+) Particulares Internados</t>
  </si>
  <si>
    <t>(-) Glosas</t>
  </si>
  <si>
    <t>(+) Particulares Ambulatoriais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</si>
  <si>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</si>
  <si>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</si>
  <si>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</si>
  <si>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</si>
  <si>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</si>
  <si>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</si>
  <si>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</si>
  <si>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</si>
  <si>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</si>
  <si>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</si>
  <si>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</si>
  <si>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</si>
  <si>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</si>
  <si>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</si>
  <si>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</si>
  <si>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</si>
  <si>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</si>
  <si>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</si>
  <si>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</si>
  <si>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</si>
  <si>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(=) Superávit/Déficit Operacional</t>
  </si>
  <si>
    <t>Despesas Fiscais e Previdenciárias</t>
  </si>
  <si>
    <t>(-) Benefício Fiscal Previdenciário</t>
  </si>
  <si>
    <t>(=) Receitas não operacionais</t>
  </si>
  <si>
    <t xml:space="preserve">   (+) Alugueis</t>
  </si>
  <si>
    <t xml:space="preserve">   (+) Outras Doações </t>
  </si>
  <si>
    <t xml:space="preserve">   (+) Subvenções Eventuais</t>
  </si>
  <si>
    <t xml:space="preserve">   (+) Vendas Lancheria HCC</t>
  </si>
  <si>
    <t xml:space="preserve">   (+) Proc. Conversão Tabela SUS - URV</t>
  </si>
  <si>
    <t xml:space="preserve">   (+) Participação Exames Ressonancia/Tomografias</t>
  </si>
  <si>
    <t xml:space="preserve">   (+) Outras receitas</t>
  </si>
  <si>
    <t>(-) Despesas não operacionais</t>
  </si>
  <si>
    <t xml:space="preserve">(-) Despesas financeiras </t>
  </si>
  <si>
    <t>(+) Receitas de aplicações financeiras</t>
  </si>
  <si>
    <t xml:space="preserve">    (+) Receitas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</si>
  <si>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</si>
  <si>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</si>
  <si>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</si>
  <si>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</si>
  <si>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</si>
  <si>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</si>
  <si>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</si>
  <si>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</si>
  <si>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</si>
  <si>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</si>
  <si>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</si>
  <si>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</si>
  <si>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</si>
  <si>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</si>
  <si>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</si>
  <si>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</si>
  <si>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</si>
  <si>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</si>
  <si>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</si>
  <si>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</si>
  <si>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</si>
  <si>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</si>
  <si>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</si>
  <si>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</si>
  <si>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</si>
  <si>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DEMONSTRAÇÃO DO VALOR ADICIONADO</t>
  </si>
  <si>
    <t>1)  ENTRADAS</t>
  </si>
  <si>
    <t>A) Vendas de Produtos e Serviços</t>
  </si>
  <si>
    <t>B) Receitas Financeiras</t>
  </si>
  <si>
    <t>C) Receitas Não Operacionais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</si>
  <si>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</si>
  <si>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</si>
  <si>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</si>
  <si>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</si>
  <si>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</si>
  <si>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H) Despesas Não Operacionais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</si>
  <si>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</si>
  <si>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</si>
  <si>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</si>
  <si>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</si>
  <si>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</si>
  <si>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</si>
  <si>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</si>
  <si>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</si>
  <si>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</si>
  <si>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</si>
  <si>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</si>
  <si>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</si>
  <si>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</si>
  <si>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</si>
  <si>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</si>
  <si>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</si>
  <si>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</si>
  <si>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(+) Superávit do Exercício</t>
  </si>
  <si>
    <t>Recepção e Lancheria</t>
  </si>
  <si>
    <t>Carazinho, 31 de dezembro de 2.022</t>
  </si>
  <si>
    <t>Jocelio Nissel Cunha</t>
  </si>
  <si>
    <t>Presidente</t>
  </si>
  <si>
    <t>CPF 429.464.330-72</t>
  </si>
  <si>
    <t xml:space="preserve">   (+) Doações Covid-19</t>
  </si>
  <si>
    <t xml:space="preserve">   (-) Devol. rendimentos e saldos de subvenções</t>
  </si>
  <si>
    <t xml:space="preserve">    (-) Encargos financeiros</t>
  </si>
  <si>
    <t xml:space="preserve">    (-) Encargos tributários</t>
  </si>
  <si>
    <t>Saldo em 31/12/2021</t>
  </si>
  <si>
    <t>(+) Ajustes exercicios anteriores</t>
  </si>
  <si>
    <t>TOTAL EM 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</si>
</sst>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164" fontId="3" fillId="0" borderId="0" xfId="0" applyNumberFormat="1" applyFont="1"/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/>
    <xf numFmtId="164" fontId="6" fillId="0" borderId="5" xfId="1" applyNumberFormat="1" applyFont="1" applyFill="1" applyBorder="1"/>
    <xf numFmtId="164" fontId="6" fillId="0" borderId="6" xfId="1" applyNumberFormat="1" applyFont="1" applyFill="1" applyBorder="1"/>
    <xf numFmtId="0" fontId="3" fillId="0" borderId="7" xfId="0" applyFont="1" applyBorder="1"/>
    <xf numFmtId="164" fontId="3" fillId="0" borderId="8" xfId="1" applyNumberFormat="1" applyFont="1" applyFill="1" applyBorder="1"/>
    <xf numFmtId="164" fontId="3" fillId="0" borderId="9" xfId="1" applyNumberFormat="1" applyFont="1" applyFill="1" applyBorder="1"/>
    <xf numFmtId="0" fontId="6" fillId="0" borderId="7" xfId="0" applyFont="1" applyBorder="1"/>
    <xf numFmtId="164" fontId="6" fillId="0" borderId="8" xfId="1" applyNumberFormat="1" applyFont="1" applyFill="1" applyBorder="1"/>
    <xf numFmtId="164" fontId="6" fillId="0" borderId="9" xfId="1" applyNumberFormat="1" applyFont="1" applyFill="1" applyBorder="1"/>
    <xf numFmtId="0" fontId="3" fillId="0" borderId="10" xfId="0" applyFont="1" applyBorder="1"/>
    <xf numFmtId="164" fontId="3" fillId="0" borderId="11" xfId="1" applyNumberFormat="1" applyFont="1" applyFill="1" applyBorder="1"/>
    <xf numFmtId="164" fontId="3" fillId="0" borderId="12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" fontId="5" fillId="0" borderId="0" xfId="0" applyNumberFormat="1" applyFont="1"/>
    <xf numFmtId="164" fontId="5" fillId="0" borderId="0" xfId="1" applyNumberFormat="1" applyFont="1" applyFill="1" applyBorder="1"/>
    <xf numFmtId="0" fontId="5" fillId="0" borderId="0" xfId="0" applyFont="1"/>
    <xf numFmtId="4" fontId="6" fillId="0" borderId="0" xfId="0" applyNumberFormat="1" applyFont="1" applyAlignment="1">
      <alignment horizontal="center"/>
    </xf>
    <xf numFmtId="4" fontId="6" fillId="0" borderId="0" xfId="0" applyNumberFormat="1" applyFont="1"/>
    <xf numFmtId="43" fontId="6" fillId="0" borderId="0" xfId="0" applyNumberFormat="1" applyFont="1"/>
    <xf numFmtId="43" fontId="4" fillId="0" borderId="0" xfId="0" applyNumberFormat="1" applyFont="1"/>
    <xf numFmtId="4" fontId="3" fillId="0" borderId="0" xfId="0" applyNumberFormat="1" applyFont="1"/>
    <xf numFmtId="4" fontId="7" fillId="0" borderId="0" xfId="0" applyNumberFormat="1" applyFont="1"/>
    <xf numFmtId="4" fontId="10" fillId="0" borderId="0" xfId="0" applyNumberFormat="1" applyFont="1"/>
    <xf numFmtId="164" fontId="10" fillId="0" borderId="0" xfId="1" applyNumberFormat="1" applyFont="1" applyFill="1" applyBorder="1"/>
    <xf numFmtId="0" fontId="10" fillId="0" borderId="0" xfId="0" applyFont="1"/>
    <xf numFmtId="4" fontId="4" fillId="0" borderId="0" xfId="1" applyNumberFormat="1" applyFont="1" applyFill="1" applyBorder="1"/>
    <xf numFmtId="0" fontId="11" fillId="0" borderId="0" xfId="0" applyFont="1"/>
    <xf numFmtId="164" fontId="11" fillId="0" borderId="0" xfId="0" applyNumberFormat="1" applyFont="1"/>
    <xf numFmtId="164" fontId="11" fillId="0" borderId="0" xfId="1" applyNumberFormat="1" applyFont="1" applyFill="1" applyBorder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22.XLS" TargetMode="External"/><Relationship Id="rId1" Type="http://schemas.openxmlformats.org/officeDocument/2006/relationships/externalLinkPath" Target="/Users/ADMINI~1/AppData/Local/Temp/pid-59620/Balan&#231;o%202.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22/COTA%20PATRONAL%20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 subvenções - jocelio"/>
      <sheetName val="subvenções balanço"/>
      <sheetName val="subvenções balanço 21"/>
      <sheetName val="planilha empréstimos"/>
      <sheetName val="Plan1"/>
      <sheetName val="doações"/>
      <sheetName val="Plan2"/>
      <sheetName val="Plan3"/>
      <sheetName val="Plan4"/>
      <sheetName val="balanço e dre "/>
      <sheetName val="demonst de origens e recursos"/>
      <sheetName val="fluxo de caixa"/>
      <sheetName val="valor adicionado"/>
      <sheetName val="demost.de mutações do PL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>
            <v>1868.44</v>
          </cell>
        </row>
        <row r="5">
          <cell r="B5">
            <v>1045068.45</v>
          </cell>
        </row>
        <row r="16">
          <cell r="B16">
            <v>8527169.5</v>
          </cell>
        </row>
        <row r="18">
          <cell r="B18">
            <v>133883.85999999999</v>
          </cell>
        </row>
        <row r="20">
          <cell r="B20">
            <v>972771.88</v>
          </cell>
        </row>
        <row r="35">
          <cell r="B35">
            <v>11428399.77</v>
          </cell>
        </row>
        <row r="38">
          <cell r="B38">
            <v>515228.43</v>
          </cell>
        </row>
        <row r="40">
          <cell r="B40">
            <v>438230.96</v>
          </cell>
        </row>
        <row r="57">
          <cell r="B57">
            <v>4631976.1099999994</v>
          </cell>
        </row>
        <row r="66">
          <cell r="B66">
            <v>1647568.46</v>
          </cell>
        </row>
        <row r="69">
          <cell r="B69">
            <v>26202</v>
          </cell>
        </row>
        <row r="70">
          <cell r="B70">
            <v>1687222.87</v>
          </cell>
        </row>
        <row r="71">
          <cell r="B71">
            <v>9200</v>
          </cell>
        </row>
        <row r="72">
          <cell r="B72">
            <v>1780</v>
          </cell>
        </row>
        <row r="73">
          <cell r="B73">
            <v>592000</v>
          </cell>
        </row>
        <row r="74">
          <cell r="B74">
            <v>39653.32</v>
          </cell>
        </row>
      </sheetData>
      <sheetData sheetId="8">
        <row r="8">
          <cell r="N8">
            <v>90327.6</v>
          </cell>
        </row>
        <row r="9">
          <cell r="N9">
            <v>1348088.62</v>
          </cell>
        </row>
        <row r="10">
          <cell r="N10">
            <v>4444926.8</v>
          </cell>
        </row>
        <row r="13">
          <cell r="N13">
            <v>2972465.65</v>
          </cell>
        </row>
        <row r="15">
          <cell r="N15">
            <v>387754.84</v>
          </cell>
        </row>
        <row r="16">
          <cell r="N16">
            <v>12452.91</v>
          </cell>
        </row>
        <row r="17">
          <cell r="N17">
            <v>3233012.35</v>
          </cell>
        </row>
        <row r="22">
          <cell r="N22">
            <v>1012105.31</v>
          </cell>
        </row>
        <row r="23">
          <cell r="N23">
            <v>3453.29</v>
          </cell>
        </row>
        <row r="25">
          <cell r="N25">
            <v>21650.639999999999</v>
          </cell>
        </row>
        <row r="51">
          <cell r="N51">
            <v>4493185.6500000004</v>
          </cell>
        </row>
        <row r="52">
          <cell r="N52">
            <v>2345750.34</v>
          </cell>
        </row>
        <row r="54">
          <cell r="N54">
            <v>783152.8</v>
          </cell>
        </row>
        <row r="55">
          <cell r="N55">
            <v>273224.71999999997</v>
          </cell>
        </row>
        <row r="56">
          <cell r="N56">
            <v>2701900.06</v>
          </cell>
        </row>
        <row r="57">
          <cell r="N57">
            <v>1697539.21</v>
          </cell>
        </row>
        <row r="58">
          <cell r="N58">
            <v>48137.71</v>
          </cell>
        </row>
        <row r="59">
          <cell r="N59">
            <v>220828.88</v>
          </cell>
        </row>
        <row r="60">
          <cell r="N60">
            <v>96537.39</v>
          </cell>
        </row>
        <row r="61">
          <cell r="N61">
            <v>208381</v>
          </cell>
        </row>
        <row r="62">
          <cell r="N62">
            <v>765463.3</v>
          </cell>
        </row>
        <row r="72">
          <cell r="N72">
            <v>16253756.550000001</v>
          </cell>
        </row>
        <row r="74">
          <cell r="N74">
            <v>4851033.6100000003</v>
          </cell>
        </row>
        <row r="81">
          <cell r="N81">
            <v>2773458.88</v>
          </cell>
        </row>
        <row r="82">
          <cell r="N82">
            <v>242906.66</v>
          </cell>
        </row>
        <row r="158">
          <cell r="M158">
            <v>13492392.279999999</v>
          </cell>
        </row>
        <row r="159">
          <cell r="M159">
            <v>3128474.67</v>
          </cell>
        </row>
        <row r="161">
          <cell r="M161">
            <v>3695063.11</v>
          </cell>
        </row>
        <row r="162">
          <cell r="M162">
            <v>3389656.5</v>
          </cell>
        </row>
        <row r="163">
          <cell r="M163">
            <v>2309926.27</v>
          </cell>
        </row>
        <row r="164">
          <cell r="M164">
            <v>1106493.3400000001</v>
          </cell>
        </row>
        <row r="165">
          <cell r="M165">
            <v>2959288.2</v>
          </cell>
        </row>
        <row r="166">
          <cell r="M166">
            <v>-9842.66</v>
          </cell>
        </row>
        <row r="168">
          <cell r="M168">
            <v>19875643.760000002</v>
          </cell>
        </row>
        <row r="169">
          <cell r="M169">
            <v>1431930.83</v>
          </cell>
        </row>
        <row r="173">
          <cell r="M173">
            <v>21864255.760000002</v>
          </cell>
        </row>
        <row r="174">
          <cell r="M174">
            <v>1879315.09</v>
          </cell>
        </row>
        <row r="176">
          <cell r="M176">
            <v>16430148.199999999</v>
          </cell>
        </row>
        <row r="177">
          <cell r="M177">
            <v>2393558.09</v>
          </cell>
        </row>
        <row r="178">
          <cell r="M178">
            <v>12338109.9</v>
          </cell>
        </row>
        <row r="179">
          <cell r="M179">
            <v>2390720.98</v>
          </cell>
        </row>
        <row r="180">
          <cell r="M180">
            <v>477311.71</v>
          </cell>
        </row>
        <row r="182">
          <cell r="M182">
            <v>1481596.56</v>
          </cell>
        </row>
        <row r="183">
          <cell r="M183">
            <v>16513.810000000001</v>
          </cell>
        </row>
        <row r="185">
          <cell r="M185">
            <v>17526.14</v>
          </cell>
        </row>
        <row r="191">
          <cell r="M191">
            <v>52276</v>
          </cell>
        </row>
        <row r="192">
          <cell r="M192">
            <v>377596.07</v>
          </cell>
        </row>
        <row r="193">
          <cell r="M193">
            <v>6874146.9400000004</v>
          </cell>
        </row>
        <row r="197">
          <cell r="M197">
            <v>112655.63</v>
          </cell>
        </row>
        <row r="201">
          <cell r="M201">
            <v>342546.86</v>
          </cell>
        </row>
      </sheetData>
      <sheetData sheetId="9">
        <row r="7">
          <cell r="F7">
            <v>15149030.910000002</v>
          </cell>
        </row>
        <row r="34">
          <cell r="F34">
            <v>1476297.87</v>
          </cell>
          <cell r="H34">
            <v>1607327.43</v>
          </cell>
        </row>
        <row r="38">
          <cell r="F38">
            <v>75009.649999999994</v>
          </cell>
          <cell r="H38">
            <v>75009.649999999994</v>
          </cell>
        </row>
        <row r="41">
          <cell r="F41">
            <v>31698224.050000001</v>
          </cell>
          <cell r="H41">
            <v>26513974.129999999</v>
          </cell>
        </row>
        <row r="57">
          <cell r="F57">
            <v>67150.100000000006</v>
          </cell>
          <cell r="H57">
            <v>67150.100000000006</v>
          </cell>
        </row>
        <row r="61">
          <cell r="F61">
            <v>-8175940.5599999996</v>
          </cell>
          <cell r="H61">
            <v>-6694344</v>
          </cell>
        </row>
        <row r="66">
          <cell r="A66" t="str">
            <v>Carazinho, 31 de dezembro de 2.022</v>
          </cell>
        </row>
        <row r="80">
          <cell r="F80">
            <v>17159923.060000002</v>
          </cell>
        </row>
        <row r="93">
          <cell r="F93">
            <v>24121155.699999999</v>
          </cell>
          <cell r="H93">
            <v>10968233.560000001</v>
          </cell>
        </row>
        <row r="98">
          <cell r="H98">
            <v>1306718.3600000001</v>
          </cell>
        </row>
        <row r="99">
          <cell r="H99">
            <v>1477576.68</v>
          </cell>
        </row>
        <row r="175">
          <cell r="F175">
            <v>51379026.299999997</v>
          </cell>
        </row>
        <row r="177">
          <cell r="F177">
            <v>23743570.850000001</v>
          </cell>
        </row>
        <row r="180">
          <cell r="F180">
            <v>18823706.289999999</v>
          </cell>
        </row>
        <row r="183">
          <cell r="F183">
            <v>12338109.9</v>
          </cell>
        </row>
        <row r="184">
          <cell r="F184">
            <v>2390720.98</v>
          </cell>
        </row>
        <row r="185">
          <cell r="F185">
            <v>477311.71</v>
          </cell>
        </row>
        <row r="186">
          <cell r="F186">
            <v>3615724.6999999997</v>
          </cell>
        </row>
        <row r="192">
          <cell r="F192">
            <v>17526.14</v>
          </cell>
        </row>
        <row r="196">
          <cell r="F196">
            <v>9792787.1800000016</v>
          </cell>
        </row>
        <row r="198">
          <cell r="F198">
            <v>0</v>
          </cell>
        </row>
        <row r="205">
          <cell r="F205">
            <v>112655.63</v>
          </cell>
        </row>
        <row r="207">
          <cell r="F207">
            <v>3070142.36</v>
          </cell>
        </row>
        <row r="211">
          <cell r="F211">
            <v>342546.86</v>
          </cell>
        </row>
        <row r="212">
          <cell r="F212">
            <v>-3057582.0800000005</v>
          </cell>
        </row>
      </sheetData>
      <sheetData sheetId="10"/>
      <sheetData sheetId="11">
        <row r="52">
          <cell r="A52" t="str">
            <v>Carazinho, 31 de dezembro de 2.022</v>
          </cell>
        </row>
      </sheetData>
      <sheetData sheetId="12">
        <row r="34">
          <cell r="A34" t="str">
            <v>Carazinho, 31 de dezembro de 2.022</v>
          </cell>
        </row>
      </sheetData>
      <sheetData sheetId="13">
        <row r="10">
          <cell r="D10">
            <v>-718019.7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4"/>
      <sheetName val="Plan1"/>
      <sheetName val="Plan2"/>
      <sheetName val="Plan3"/>
    </sheetNames>
    <sheetDataSet>
      <sheetData sheetId="0" refreshError="1"/>
      <sheetData sheetId="1" refreshError="1"/>
      <sheetData sheetId="2">
        <row r="21">
          <cell r="F21">
            <v>5697103.0419799993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O221"/>
  <sheetViews>
    <sheetView tabSelected="1" topLeftCell="A13" workbookViewId="0">
      <selection sqref="A1:XFD221"/>
    </sheetView>
  </sheetViews>
  <sheetFormatPr defaultRowHeight="15" x14ac:dyDescent="0.25"/>
  <cols>
    <col min="6" max="6" width="15.7109375" bestFit="1" customWidth="1"/>
    <col min="7" max="7" width="7.7109375" bestFit="1" customWidth="1"/>
    <col min="8" max="8" width="15.7109375" bestFit="1" customWidth="1"/>
    <col min="9" max="9" width="7.7109375" bestFit="1" customWidth="1"/>
  </cols>
  <sheetData>
    <row r="1" spans="1:12" s="12" customFormat="1" ht="18" x14ac:dyDescent="0.2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19"/>
      <c r="K1" s="13"/>
    </row>
    <row r="2" spans="1:12" s="12" customFormat="1" ht="18.75" customHeight="1" x14ac:dyDescent="0.2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19"/>
      <c r="K2" s="13"/>
    </row>
    <row r="3" spans="1:12" s="12" customFormat="1" ht="12" customHeight="1" x14ac:dyDescent="0.2">
      <c r="A3" s="2"/>
      <c r="B3" s="2"/>
      <c r="C3" s="2"/>
      <c r="D3" s="2"/>
      <c r="E3" s="2"/>
      <c r="F3" s="2"/>
      <c r="G3" s="2"/>
      <c r="H3" s="2"/>
      <c r="I3" s="2"/>
      <c r="J3" s="19"/>
      <c r="K3" s="13"/>
    </row>
    <row r="4" spans="1:12" s="58" customFormat="1" ht="15.75" x14ac:dyDescent="0.25">
      <c r="A4" s="50" t="s">
        <v>2</v>
      </c>
      <c r="B4" s="50"/>
      <c r="C4" s="50"/>
      <c r="D4" s="50"/>
      <c r="E4" s="50"/>
      <c r="F4" s="50"/>
      <c r="G4" s="50"/>
      <c r="H4" s="50"/>
      <c r="I4" s="50"/>
      <c r="J4" s="56"/>
      <c r="K4" s="57"/>
    </row>
    <row r="5" spans="1:12" s="58" customFormat="1" ht="10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56"/>
      <c r="K5" s="57"/>
    </row>
    <row r="6" spans="1:12" s="4" customFormat="1" x14ac:dyDescent="0.25">
      <c r="A6" s="55" t="s">
        <v>3</v>
      </c>
      <c r="B6" s="55"/>
      <c r="C6" s="55"/>
      <c r="D6" s="55"/>
      <c r="E6" s="55"/>
      <c r="F6" s="5">
        <v>44926</v>
      </c>
      <c r="G6" s="6" t="s">
        <v>4</v>
      </c>
      <c r="H6" s="5">
        <v>44561</v>
      </c>
      <c r="I6" s="6" t="s">
        <v>4</v>
      </c>
      <c r="J6" s="59"/>
      <c r="K6" s="31"/>
    </row>
    <row r="7" spans="1:12" s="7" customFormat="1" ht="19.5" x14ac:dyDescent="0.55000000000000004">
      <c r="A7" s="7" t="s">
        <v>5</v>
      </c>
      <c r="E7" s="4"/>
      <c r="F7" s="8">
        <f>SUM(F8,F13,F23)+F31</f>
        <v>15149030.910000002</v>
      </c>
      <c r="G7" s="6">
        <f>F7/F62*100</f>
        <v>37.600190198346027</v>
      </c>
      <c r="H7" s="8">
        <v>10054571.65</v>
      </c>
      <c r="I7" s="6">
        <v>34.72191469965955</v>
      </c>
      <c r="J7" s="60"/>
      <c r="K7" s="25"/>
      <c r="L7" s="61"/>
    </row>
    <row r="8" spans="1:12" s="9" customFormat="1" x14ac:dyDescent="0.25">
      <c r="B8" s="9" t="s">
        <v>6</v>
      </c>
      <c r="E8" s="10"/>
      <c r="F8" s="9">
        <f>F9+F10+F12+F11</f>
        <v>5883343.0199999996</v>
      </c>
      <c r="G8" s="11">
        <f>F8/F62*100</f>
        <v>14.602572129421542</v>
      </c>
      <c r="H8" s="9">
        <v>2067570.61</v>
      </c>
      <c r="I8" s="11">
        <v>15.631635376906946</v>
      </c>
      <c r="J8" s="60"/>
    </row>
    <row r="9" spans="1:12" s="12" customFormat="1" x14ac:dyDescent="0.25">
      <c r="C9" s="12" t="s">
        <v>7</v>
      </c>
      <c r="E9" s="2"/>
      <c r="F9" s="13">
        <f>[1]Plan4!N8</f>
        <v>90327.6</v>
      </c>
      <c r="H9" s="13">
        <v>57767.47</v>
      </c>
      <c r="J9" s="60"/>
      <c r="K9" s="13"/>
    </row>
    <row r="10" spans="1:12" s="12" customFormat="1" x14ac:dyDescent="0.25">
      <c r="C10" s="12" t="s">
        <v>8</v>
      </c>
      <c r="E10" s="2"/>
      <c r="F10" s="13">
        <f>[1]Plan4!N9</f>
        <v>1348088.62</v>
      </c>
      <c r="H10" s="13">
        <v>686754.28</v>
      </c>
      <c r="J10" s="60"/>
      <c r="K10" s="13"/>
    </row>
    <row r="11" spans="1:12" s="12" customFormat="1" x14ac:dyDescent="0.25">
      <c r="C11" s="12" t="s">
        <v>9</v>
      </c>
      <c r="E11" s="2"/>
      <c r="F11" s="13">
        <v>0</v>
      </c>
      <c r="H11" s="13">
        <v>753370</v>
      </c>
      <c r="J11" s="60"/>
      <c r="K11" s="13"/>
    </row>
    <row r="12" spans="1:12" s="12" customFormat="1" x14ac:dyDescent="0.25">
      <c r="C12" s="12" t="s">
        <v>10</v>
      </c>
      <c r="E12" s="2"/>
      <c r="F12" s="13">
        <f>[1]Plan4!N10</f>
        <v>4444926.8</v>
      </c>
      <c r="H12" s="13">
        <v>569678.86</v>
      </c>
      <c r="J12" s="60"/>
      <c r="K12" s="13"/>
    </row>
    <row r="13" spans="1:12" s="27" customFormat="1" x14ac:dyDescent="0.25">
      <c r="A13" s="14"/>
      <c r="B13" s="14" t="s">
        <v>11</v>
      </c>
      <c r="C13" s="14"/>
      <c r="D13" s="14"/>
      <c r="E13" s="15"/>
      <c r="F13" s="9">
        <f>SUM(F14:F22)</f>
        <v>7642894.9900000012</v>
      </c>
      <c r="G13" s="6">
        <f>F13/F62*100</f>
        <v>18.969814438776268</v>
      </c>
      <c r="H13" s="9">
        <v>6378140.0700000003</v>
      </c>
      <c r="I13" s="6">
        <v>14.91783236281489</v>
      </c>
      <c r="J13" s="60"/>
      <c r="K13" s="26"/>
      <c r="L13" s="32"/>
    </row>
    <row r="14" spans="1:12" s="12" customFormat="1" x14ac:dyDescent="0.25">
      <c r="C14" s="12" t="s">
        <v>12</v>
      </c>
      <c r="E14" s="2"/>
      <c r="F14" s="13">
        <f>[1]Plan4!N15</f>
        <v>387754.84</v>
      </c>
      <c r="H14" s="13">
        <v>391443.15</v>
      </c>
      <c r="J14" s="60"/>
      <c r="K14" s="13"/>
      <c r="L14" s="18"/>
    </row>
    <row r="15" spans="1:12" s="27" customFormat="1" x14ac:dyDescent="0.25">
      <c r="A15" s="12"/>
      <c r="B15" s="12"/>
      <c r="C15" s="12" t="s">
        <v>13</v>
      </c>
      <c r="D15" s="12"/>
      <c r="E15" s="2"/>
      <c r="F15" s="13">
        <v>60551.15</v>
      </c>
      <c r="G15" s="12"/>
      <c r="H15" s="13">
        <v>110897.35</v>
      </c>
      <c r="I15" s="12"/>
      <c r="J15" s="60"/>
      <c r="K15" s="26"/>
      <c r="L15" s="32"/>
    </row>
    <row r="16" spans="1:12" s="27" customFormat="1" x14ac:dyDescent="0.25">
      <c r="A16" s="12"/>
      <c r="B16" s="12"/>
      <c r="C16" s="12" t="s">
        <v>14</v>
      </c>
      <c r="D16" s="12"/>
      <c r="E16" s="2"/>
      <c r="F16" s="13">
        <f>[1]Plan4!N25</f>
        <v>21650.639999999999</v>
      </c>
      <c r="G16" s="12"/>
      <c r="H16" s="13">
        <v>12550.32</v>
      </c>
      <c r="I16" s="12"/>
      <c r="J16" s="60"/>
      <c r="K16" s="26"/>
      <c r="L16" s="32"/>
    </row>
    <row r="17" spans="1:13" s="12" customFormat="1" x14ac:dyDescent="0.25">
      <c r="C17" s="12" t="s">
        <v>15</v>
      </c>
      <c r="E17" s="2"/>
      <c r="F17" s="13">
        <f>[1]Plan4!N13-60551.15</f>
        <v>2911914.5</v>
      </c>
      <c r="H17" s="13">
        <v>2242081.4300000002</v>
      </c>
      <c r="J17" s="60"/>
      <c r="K17" s="13"/>
      <c r="L17" s="18"/>
    </row>
    <row r="18" spans="1:13" s="12" customFormat="1" x14ac:dyDescent="0.25">
      <c r="C18" s="12" t="s">
        <v>16</v>
      </c>
      <c r="E18" s="2"/>
      <c r="F18" s="13">
        <f>[1]Plan4!N17</f>
        <v>3233012.35</v>
      </c>
      <c r="H18" s="13">
        <v>2749695.32</v>
      </c>
      <c r="J18" s="60"/>
      <c r="K18" s="13"/>
      <c r="L18" s="62"/>
    </row>
    <row r="19" spans="1:13" s="12" customFormat="1" x14ac:dyDescent="0.25">
      <c r="C19" s="12" t="s">
        <v>17</v>
      </c>
      <c r="E19" s="2"/>
      <c r="F19" s="13">
        <v>0</v>
      </c>
      <c r="H19" s="13">
        <v>350694.83</v>
      </c>
      <c r="J19" s="60"/>
      <c r="K19" s="13"/>
    </row>
    <row r="20" spans="1:13" s="12" customFormat="1" x14ac:dyDescent="0.25">
      <c r="C20" s="12" t="s">
        <v>18</v>
      </c>
      <c r="E20" s="2"/>
      <c r="F20" s="13">
        <f>[1]Plan4!N22</f>
        <v>1012105.31</v>
      </c>
      <c r="H20" s="13">
        <v>508035.46</v>
      </c>
      <c r="J20" s="60"/>
      <c r="K20" s="13"/>
    </row>
    <row r="21" spans="1:13" s="12" customFormat="1" hidden="1" x14ac:dyDescent="0.25">
      <c r="C21" s="12" t="s">
        <v>19</v>
      </c>
      <c r="E21" s="2"/>
      <c r="F21" s="13">
        <v>0</v>
      </c>
      <c r="H21" s="13">
        <v>0</v>
      </c>
      <c r="J21" s="60"/>
      <c r="K21" s="13"/>
    </row>
    <row r="22" spans="1:13" s="27" customFormat="1" x14ac:dyDescent="0.25">
      <c r="A22" s="12"/>
      <c r="B22" s="12"/>
      <c r="C22" s="12" t="s">
        <v>20</v>
      </c>
      <c r="D22" s="12"/>
      <c r="E22" s="2"/>
      <c r="F22" s="13">
        <f>[1]Plan4!N16+[1]Plan4!N23</f>
        <v>15906.2</v>
      </c>
      <c r="G22" s="12"/>
      <c r="H22" s="13">
        <v>12742.21</v>
      </c>
      <c r="I22" s="12"/>
      <c r="J22" s="60"/>
      <c r="K22" s="26"/>
    </row>
    <row r="23" spans="1:13" s="12" customFormat="1" x14ac:dyDescent="0.25">
      <c r="A23" s="14"/>
      <c r="B23" s="14" t="s">
        <v>21</v>
      </c>
      <c r="C23" s="14"/>
      <c r="D23" s="14"/>
      <c r="E23" s="15"/>
      <c r="F23" s="9">
        <f>SUM(F24:F30)</f>
        <v>1491763.3399999999</v>
      </c>
      <c r="G23" s="6">
        <f>F23/F62*100</f>
        <v>3.7025857065149999</v>
      </c>
      <c r="H23" s="9">
        <v>1477831.41</v>
      </c>
      <c r="I23" s="6">
        <v>3.742656296804018</v>
      </c>
      <c r="J23" s="60"/>
      <c r="K23" s="13"/>
      <c r="M23" s="62"/>
    </row>
    <row r="24" spans="1:13" s="12" customFormat="1" x14ac:dyDescent="0.25">
      <c r="C24" s="12" t="s">
        <v>22</v>
      </c>
      <c r="E24" s="2"/>
      <c r="F24" s="13">
        <v>1203545.8899999999</v>
      </c>
      <c r="H24" s="13">
        <v>1215215.28</v>
      </c>
      <c r="J24" s="60"/>
      <c r="K24" s="13"/>
    </row>
    <row r="25" spans="1:13" s="12" customFormat="1" x14ac:dyDescent="0.25">
      <c r="C25" s="12" t="s">
        <v>23</v>
      </c>
      <c r="E25" s="2"/>
      <c r="F25" s="13">
        <v>66449.88</v>
      </c>
      <c r="H25" s="13">
        <v>66581.539999999994</v>
      </c>
      <c r="J25" s="60"/>
      <c r="K25" s="13"/>
    </row>
    <row r="26" spans="1:13" s="12" customFormat="1" x14ac:dyDescent="0.25">
      <c r="C26" s="12" t="s">
        <v>24</v>
      </c>
      <c r="E26" s="2"/>
      <c r="F26" s="13">
        <v>50241.16</v>
      </c>
      <c r="H26" s="13">
        <v>49392.75</v>
      </c>
      <c r="J26" s="60"/>
      <c r="K26" s="13"/>
    </row>
    <row r="27" spans="1:13" s="12" customFormat="1" x14ac:dyDescent="0.25">
      <c r="C27" s="12" t="s">
        <v>25</v>
      </c>
      <c r="E27" s="2"/>
      <c r="F27" s="13">
        <v>0</v>
      </c>
      <c r="H27" s="13">
        <v>41773.54</v>
      </c>
      <c r="J27" s="60"/>
      <c r="K27" s="13"/>
    </row>
    <row r="28" spans="1:13" s="12" customFormat="1" x14ac:dyDescent="0.25">
      <c r="C28" s="12" t="s">
        <v>26</v>
      </c>
      <c r="E28" s="2"/>
      <c r="F28" s="13">
        <v>16378.08</v>
      </c>
      <c r="H28" s="13">
        <v>15386.59</v>
      </c>
      <c r="J28" s="60"/>
      <c r="K28" s="13"/>
    </row>
    <row r="29" spans="1:13" s="12" customFormat="1" x14ac:dyDescent="0.25">
      <c r="C29" s="12" t="s">
        <v>27</v>
      </c>
      <c r="E29" s="2"/>
      <c r="F29" s="13">
        <v>47557.66</v>
      </c>
      <c r="H29" s="13">
        <v>39700.47</v>
      </c>
      <c r="J29" s="60"/>
      <c r="K29" s="13"/>
    </row>
    <row r="30" spans="1:13" s="12" customFormat="1" x14ac:dyDescent="0.25">
      <c r="C30" s="12" t="s">
        <v>28</v>
      </c>
      <c r="E30" s="2"/>
      <c r="F30" s="13">
        <v>107590.67</v>
      </c>
      <c r="H30" s="13">
        <v>49781.24</v>
      </c>
      <c r="J30" s="60"/>
      <c r="K30" s="13"/>
    </row>
    <row r="31" spans="1:13" s="12" customFormat="1" x14ac:dyDescent="0.25">
      <c r="B31" s="14" t="s">
        <v>29</v>
      </c>
      <c r="E31" s="2"/>
      <c r="F31" s="9">
        <f>F32</f>
        <v>131029.56</v>
      </c>
      <c r="H31" s="9">
        <v>131029.56</v>
      </c>
      <c r="J31" s="60"/>
      <c r="K31" s="13"/>
    </row>
    <row r="32" spans="1:13" s="12" customFormat="1" x14ac:dyDescent="0.25">
      <c r="B32" s="14"/>
      <c r="C32" s="12" t="s">
        <v>30</v>
      </c>
      <c r="E32" s="2"/>
      <c r="F32" s="13">
        <v>131029.56</v>
      </c>
      <c r="H32" s="13">
        <v>131029.56</v>
      </c>
      <c r="J32" s="60"/>
      <c r="K32" s="13"/>
    </row>
    <row r="33" spans="1:12" s="12" customFormat="1" ht="19.5" x14ac:dyDescent="0.55000000000000004">
      <c r="A33" s="7" t="s">
        <v>31</v>
      </c>
      <c r="B33" s="7"/>
      <c r="C33" s="7"/>
      <c r="D33" s="7"/>
      <c r="E33" s="4"/>
      <c r="F33" s="16">
        <f>F34+F38+F41+F57+F61</f>
        <v>25140741.110000003</v>
      </c>
      <c r="G33" s="6">
        <f>F33/F62*100</f>
        <v>62.399809801653973</v>
      </c>
      <c r="H33" s="16">
        <v>21569117.310000002</v>
      </c>
      <c r="I33" s="6">
        <v>65.278085300340464</v>
      </c>
      <c r="J33" s="60"/>
      <c r="K33" s="13"/>
    </row>
    <row r="34" spans="1:12" s="12" customFormat="1" ht="19.5" x14ac:dyDescent="0.55000000000000004">
      <c r="A34" s="7"/>
      <c r="B34" s="14" t="s">
        <v>32</v>
      </c>
      <c r="C34" s="7"/>
      <c r="D34" s="7"/>
      <c r="E34" s="4"/>
      <c r="F34" s="16">
        <f>F36+F37+F35</f>
        <v>1476297.87</v>
      </c>
      <c r="G34" s="6"/>
      <c r="H34" s="16">
        <v>1607327.43</v>
      </c>
      <c r="I34" s="6"/>
      <c r="J34" s="60"/>
      <c r="K34" s="13"/>
    </row>
    <row r="35" spans="1:12" s="12" customFormat="1" x14ac:dyDescent="0.25">
      <c r="C35" s="12" t="s">
        <v>33</v>
      </c>
      <c r="E35" s="2"/>
      <c r="F35" s="13">
        <v>0</v>
      </c>
      <c r="H35" s="13">
        <v>0</v>
      </c>
      <c r="J35" s="60"/>
      <c r="K35" s="13"/>
    </row>
    <row r="36" spans="1:12" s="12" customFormat="1" x14ac:dyDescent="0.25">
      <c r="C36" s="12" t="s">
        <v>34</v>
      </c>
      <c r="E36" s="2"/>
      <c r="F36" s="13">
        <v>690119.41</v>
      </c>
      <c r="H36" s="13">
        <v>690119.41</v>
      </c>
      <c r="J36" s="60"/>
      <c r="K36" s="13"/>
    </row>
    <row r="37" spans="1:12" s="12" customFormat="1" x14ac:dyDescent="0.25">
      <c r="C37" s="12" t="s">
        <v>35</v>
      </c>
      <c r="E37" s="2"/>
      <c r="F37" s="13">
        <v>786178.46</v>
      </c>
      <c r="H37" s="13">
        <v>917208.02</v>
      </c>
      <c r="J37" s="60"/>
      <c r="K37" s="13"/>
    </row>
    <row r="38" spans="1:12" s="12" customFormat="1" x14ac:dyDescent="0.25">
      <c r="A38" s="14"/>
      <c r="B38" s="14" t="s">
        <v>36</v>
      </c>
      <c r="C38" s="14"/>
      <c r="D38" s="14"/>
      <c r="E38" s="15"/>
      <c r="F38" s="9">
        <f>SUM(F39:F40)</f>
        <v>75009.649999999994</v>
      </c>
      <c r="H38" s="9">
        <v>75009.649999999994</v>
      </c>
      <c r="J38" s="60"/>
      <c r="K38" s="13"/>
    </row>
    <row r="39" spans="1:12" s="12" customFormat="1" x14ac:dyDescent="0.25">
      <c r="C39" s="12" t="s">
        <v>37</v>
      </c>
      <c r="E39" s="2"/>
      <c r="F39" s="13">
        <v>1142.04</v>
      </c>
      <c r="H39" s="13">
        <v>1142.04</v>
      </c>
      <c r="J39" s="60"/>
      <c r="K39" s="13"/>
    </row>
    <row r="40" spans="1:12" s="12" customFormat="1" x14ac:dyDescent="0.25">
      <c r="C40" s="12" t="s">
        <v>38</v>
      </c>
      <c r="E40" s="2"/>
      <c r="F40" s="13">
        <v>73867.61</v>
      </c>
      <c r="H40" s="13">
        <v>73867.61</v>
      </c>
      <c r="J40" s="60"/>
      <c r="K40" s="13"/>
    </row>
    <row r="41" spans="1:12" s="12" customFormat="1" x14ac:dyDescent="0.25">
      <c r="A41" s="14"/>
      <c r="B41" s="14" t="s">
        <v>39</v>
      </c>
      <c r="C41" s="14"/>
      <c r="D41" s="14"/>
      <c r="E41" s="17"/>
      <c r="F41" s="9">
        <f>SUM(F42:F56)</f>
        <v>31698224.050000001</v>
      </c>
      <c r="G41" s="6">
        <f>F41/F62*100</f>
        <v>78.675610361520228</v>
      </c>
      <c r="H41" s="9">
        <v>26513974.129999999</v>
      </c>
      <c r="I41" s="6">
        <v>76.882176602367011</v>
      </c>
      <c r="J41" s="60"/>
      <c r="K41" s="13"/>
    </row>
    <row r="42" spans="1:12" s="12" customFormat="1" x14ac:dyDescent="0.25">
      <c r="C42" s="12" t="s">
        <v>47</v>
      </c>
      <c r="E42" s="2"/>
      <c r="F42" s="13">
        <f>[1]Plan3!B1</f>
        <v>1868.44</v>
      </c>
      <c r="H42" s="13">
        <v>1868.44</v>
      </c>
      <c r="J42" s="60"/>
      <c r="K42" s="13"/>
    </row>
    <row r="43" spans="1:12" s="12" customFormat="1" x14ac:dyDescent="0.25">
      <c r="C43" s="12" t="s">
        <v>51</v>
      </c>
      <c r="E43" s="2"/>
      <c r="F43" s="19">
        <f>[1]Plan3!B5</f>
        <v>1045068.45</v>
      </c>
      <c r="H43" s="19">
        <v>1045068.45</v>
      </c>
      <c r="J43" s="60"/>
      <c r="K43" s="13"/>
    </row>
    <row r="44" spans="1:12" s="12" customFormat="1" x14ac:dyDescent="0.25">
      <c r="C44" s="12" t="s">
        <v>41</v>
      </c>
      <c r="E44" s="2"/>
      <c r="F44" s="13">
        <f>[1]Plan3!B16</f>
        <v>8527169.5</v>
      </c>
      <c r="H44" s="13">
        <v>8337947.6600000001</v>
      </c>
      <c r="I44" s="18"/>
      <c r="J44" s="60"/>
      <c r="K44" s="13"/>
    </row>
    <row r="45" spans="1:12" s="12" customFormat="1" x14ac:dyDescent="0.25">
      <c r="C45" s="12" t="s">
        <v>49</v>
      </c>
      <c r="E45" s="2"/>
      <c r="F45" s="13">
        <f>[1]Plan3!B18</f>
        <v>133883.85999999999</v>
      </c>
      <c r="H45" s="13">
        <v>133883.85999999999</v>
      </c>
      <c r="J45" s="60"/>
      <c r="K45" s="13"/>
    </row>
    <row r="46" spans="1:12" s="12" customFormat="1" x14ac:dyDescent="0.25">
      <c r="C46" s="12" t="s">
        <v>43</v>
      </c>
      <c r="E46" s="2"/>
      <c r="F46" s="13">
        <f>[1]Plan3!B35</f>
        <v>11428399.77</v>
      </c>
      <c r="G46" s="18"/>
      <c r="H46" s="13">
        <v>8598304.9699999988</v>
      </c>
      <c r="J46" s="60"/>
      <c r="K46" s="13"/>
    </row>
    <row r="47" spans="1:12" s="12" customFormat="1" x14ac:dyDescent="0.25">
      <c r="C47" s="12" t="s">
        <v>52</v>
      </c>
      <c r="E47" s="2"/>
      <c r="F47" s="13">
        <f>[1]Plan3!B38</f>
        <v>515228.43</v>
      </c>
      <c r="H47" s="13">
        <v>515228.43</v>
      </c>
      <c r="J47" s="60"/>
      <c r="K47" s="13"/>
      <c r="L47" s="62"/>
    </row>
    <row r="48" spans="1:12" s="12" customFormat="1" x14ac:dyDescent="0.25">
      <c r="C48" s="12" t="s">
        <v>44</v>
      </c>
      <c r="E48" s="2"/>
      <c r="F48" s="13">
        <f>[1]Plan3!B40</f>
        <v>438230.96</v>
      </c>
      <c r="H48" s="13">
        <v>438230.96</v>
      </c>
      <c r="J48" s="60"/>
      <c r="K48" s="13"/>
    </row>
    <row r="49" spans="1:13" s="12" customFormat="1" x14ac:dyDescent="0.25">
      <c r="C49" s="12" t="s">
        <v>42</v>
      </c>
      <c r="E49" s="2"/>
      <c r="F49" s="13">
        <f>[1]Plan3!B57</f>
        <v>4631976.1099999994</v>
      </c>
      <c r="H49" s="13">
        <v>4370888.9800000004</v>
      </c>
      <c r="J49" s="60"/>
      <c r="K49" s="13"/>
    </row>
    <row r="50" spans="1:13" s="12" customFormat="1" x14ac:dyDescent="0.25">
      <c r="C50" s="12" t="s">
        <v>45</v>
      </c>
      <c r="E50" s="2"/>
      <c r="F50" s="13">
        <f>[1]Plan3!B66</f>
        <v>1647568.46</v>
      </c>
      <c r="H50" s="13">
        <v>1535330.92</v>
      </c>
      <c r="J50" s="60"/>
      <c r="K50" s="13"/>
    </row>
    <row r="51" spans="1:13" s="12" customFormat="1" x14ac:dyDescent="0.25">
      <c r="C51" s="12" t="s">
        <v>50</v>
      </c>
      <c r="E51" s="2"/>
      <c r="F51" s="13">
        <f>[1]Plan3!B69</f>
        <v>26202</v>
      </c>
      <c r="H51" s="13">
        <v>26202</v>
      </c>
      <c r="J51" s="60"/>
      <c r="K51" s="13"/>
    </row>
    <row r="52" spans="1:13" s="12" customFormat="1" x14ac:dyDescent="0.25">
      <c r="C52" s="12" t="s">
        <v>46</v>
      </c>
      <c r="E52" s="2"/>
      <c r="F52" s="13">
        <f>[1]Plan3!B20</f>
        <v>972771.88</v>
      </c>
      <c r="H52" s="13">
        <v>868386.14</v>
      </c>
      <c r="J52" s="60"/>
      <c r="K52" s="13"/>
    </row>
    <row r="53" spans="1:13" s="12" customFormat="1" x14ac:dyDescent="0.25">
      <c r="C53" s="12" t="s">
        <v>184</v>
      </c>
      <c r="E53" s="2"/>
      <c r="F53" s="13">
        <f>[1]Plan3!B71+[1]Plan3!B70</f>
        <v>1696422.87</v>
      </c>
      <c r="H53" s="13">
        <v>9200</v>
      </c>
      <c r="J53" s="60"/>
      <c r="K53" s="13"/>
      <c r="L53" s="62"/>
    </row>
    <row r="54" spans="1:13" s="12" customFormat="1" x14ac:dyDescent="0.25">
      <c r="C54" s="12" t="s">
        <v>48</v>
      </c>
      <c r="E54" s="2"/>
      <c r="F54" s="13">
        <f>[1]Plan3!B72</f>
        <v>1780</v>
      </c>
      <c r="H54" s="13">
        <v>1780</v>
      </c>
      <c r="J54" s="60"/>
      <c r="K54" s="13"/>
      <c r="L54" s="62"/>
    </row>
    <row r="55" spans="1:13" s="12" customFormat="1" x14ac:dyDescent="0.25">
      <c r="C55" s="12" t="s">
        <v>40</v>
      </c>
      <c r="E55" s="2"/>
      <c r="F55" s="13">
        <f>[1]Plan3!B73</f>
        <v>592000</v>
      </c>
      <c r="H55" s="13">
        <v>592000</v>
      </c>
      <c r="J55" s="60"/>
      <c r="K55" s="13"/>
      <c r="L55" s="62"/>
    </row>
    <row r="56" spans="1:13" s="12" customFormat="1" x14ac:dyDescent="0.25">
      <c r="C56" s="12" t="s">
        <v>53</v>
      </c>
      <c r="E56" s="2"/>
      <c r="F56" s="13">
        <f>[1]Plan3!B74</f>
        <v>39653.32</v>
      </c>
      <c r="H56" s="13">
        <v>39653.32</v>
      </c>
      <c r="J56" s="60"/>
      <c r="K56" s="13"/>
      <c r="L56" s="62"/>
    </row>
    <row r="57" spans="1:13" s="12" customFormat="1" x14ac:dyDescent="0.25">
      <c r="A57" s="14"/>
      <c r="B57" s="14" t="s">
        <v>54</v>
      </c>
      <c r="C57" s="14"/>
      <c r="D57" s="14"/>
      <c r="E57" s="15"/>
      <c r="F57" s="9">
        <f>SUM(F58:F60)</f>
        <v>67150.100000000006</v>
      </c>
      <c r="G57" s="6">
        <f>F57/F62*100</f>
        <v>0.16666785795329503</v>
      </c>
      <c r="H57" s="9">
        <v>67150.100000000006</v>
      </c>
      <c r="I57" s="6">
        <v>0.22025935222932932</v>
      </c>
      <c r="J57" s="60"/>
      <c r="K57" s="13"/>
    </row>
    <row r="58" spans="1:13" s="12" customFormat="1" x14ac:dyDescent="0.25">
      <c r="C58" s="12" t="s">
        <v>55</v>
      </c>
      <c r="E58" s="2"/>
      <c r="F58" s="13">
        <v>62500</v>
      </c>
      <c r="H58" s="13">
        <v>62500</v>
      </c>
      <c r="J58" s="60"/>
      <c r="K58" s="13"/>
      <c r="M58" s="62"/>
    </row>
    <row r="59" spans="1:13" s="12" customFormat="1" x14ac:dyDescent="0.25">
      <c r="C59" s="12" t="s">
        <v>42</v>
      </c>
      <c r="E59" s="2"/>
      <c r="F59" s="13">
        <f>639.2+2885.9</f>
        <v>3525.1000000000004</v>
      </c>
      <c r="H59" s="13">
        <v>3525.1</v>
      </c>
      <c r="J59" s="60"/>
      <c r="K59" s="13"/>
    </row>
    <row r="60" spans="1:13" s="12" customFormat="1" x14ac:dyDescent="0.25">
      <c r="C60" s="12" t="s">
        <v>45</v>
      </c>
      <c r="E60" s="2"/>
      <c r="F60" s="13">
        <v>1125</v>
      </c>
      <c r="H60" s="13">
        <v>1125</v>
      </c>
      <c r="J60" s="60"/>
      <c r="K60" s="13"/>
    </row>
    <row r="61" spans="1:13" s="12" customFormat="1" x14ac:dyDescent="0.25">
      <c r="B61" s="14" t="s">
        <v>56</v>
      </c>
      <c r="C61" s="14"/>
      <c r="D61" s="14"/>
      <c r="E61" s="15"/>
      <c r="F61" s="9">
        <v>-8175940.5599999996</v>
      </c>
      <c r="G61" s="14"/>
      <c r="H61" s="9">
        <v>-6694344</v>
      </c>
      <c r="I61" s="14"/>
      <c r="J61" s="60"/>
      <c r="K61" s="13"/>
    </row>
    <row r="62" spans="1:13" s="12" customFormat="1" x14ac:dyDescent="0.25">
      <c r="A62" s="7" t="s">
        <v>57</v>
      </c>
      <c r="B62" s="7"/>
      <c r="C62" s="7"/>
      <c r="D62" s="7"/>
      <c r="E62" s="4"/>
      <c r="F62" s="20">
        <f>F33+F7</f>
        <v>40289772.020000003</v>
      </c>
      <c r="G62" s="10">
        <f>F62/F62*100</f>
        <v>100</v>
      </c>
      <c r="H62" s="20">
        <v>31623688.960000001</v>
      </c>
      <c r="I62" s="10">
        <v>100</v>
      </c>
      <c r="J62" s="60"/>
      <c r="K62" s="13"/>
    </row>
    <row r="63" spans="1:13" s="12" customFormat="1" x14ac:dyDescent="0.25">
      <c r="A63" s="7"/>
      <c r="B63" s="7"/>
      <c r="C63" s="7"/>
      <c r="D63" s="7"/>
      <c r="E63" s="4"/>
      <c r="F63" s="20"/>
      <c r="G63" s="10"/>
      <c r="H63" s="20"/>
      <c r="I63" s="10"/>
      <c r="J63" s="60"/>
      <c r="K63" s="13"/>
    </row>
    <row r="64" spans="1:13" s="12" customFormat="1" x14ac:dyDescent="0.25">
      <c r="A64" s="7"/>
      <c r="B64" s="7"/>
      <c r="C64" s="7"/>
      <c r="D64" s="7"/>
      <c r="E64" s="4"/>
      <c r="F64" s="20"/>
      <c r="G64" s="10"/>
      <c r="H64" s="20"/>
      <c r="I64" s="10"/>
      <c r="J64" s="60"/>
      <c r="K64" s="13"/>
    </row>
    <row r="65" spans="1:11" s="12" customFormat="1" x14ac:dyDescent="0.25">
      <c r="A65" s="7"/>
      <c r="B65" s="7"/>
      <c r="C65" s="7"/>
      <c r="D65" s="7"/>
      <c r="E65" s="4"/>
      <c r="F65" s="20"/>
      <c r="G65" s="10"/>
      <c r="H65" s="20"/>
      <c r="I65" s="10"/>
      <c r="J65" s="60"/>
      <c r="K65" s="13"/>
    </row>
    <row r="66" spans="1:11" s="12" customFormat="1" ht="12.75" x14ac:dyDescent="0.2">
      <c r="A66" s="52" t="s">
        <v>185</v>
      </c>
      <c r="B66" s="52"/>
      <c r="C66" s="52"/>
      <c r="D66" s="52"/>
      <c r="E66" s="52"/>
      <c r="F66" s="52"/>
      <c r="G66" s="52"/>
      <c r="H66" s="52"/>
      <c r="I66" s="52"/>
      <c r="J66" s="19"/>
      <c r="K66" s="13"/>
    </row>
    <row r="67" spans="1:11" s="12" customFormat="1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19"/>
      <c r="K67" s="13"/>
    </row>
    <row r="68" spans="1:11" s="12" customFormat="1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19"/>
      <c r="K68" s="13"/>
    </row>
    <row r="69" spans="1:11" s="12" customFormat="1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19"/>
      <c r="K69" s="13"/>
    </row>
    <row r="70" spans="1:11" s="12" customFormat="1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19"/>
      <c r="K70" s="13"/>
    </row>
    <row r="71" spans="1:11" s="12" customFormat="1" ht="12.75" x14ac:dyDescent="0.2">
      <c r="A71" s="2"/>
      <c r="B71" s="2"/>
      <c r="C71" s="2" t="s">
        <v>186</v>
      </c>
      <c r="E71" s="2"/>
      <c r="F71" s="22"/>
      <c r="G71" s="52" t="s">
        <v>58</v>
      </c>
      <c r="H71" s="52"/>
      <c r="I71" s="2"/>
      <c r="J71" s="19"/>
      <c r="K71" s="13"/>
    </row>
    <row r="72" spans="1:11" s="12" customFormat="1" x14ac:dyDescent="0.25">
      <c r="A72" s="7"/>
      <c r="B72" s="13"/>
      <c r="C72" s="2" t="s">
        <v>187</v>
      </c>
      <c r="E72" s="2"/>
      <c r="F72" s="23"/>
      <c r="G72" s="52" t="s">
        <v>59</v>
      </c>
      <c r="H72" s="52"/>
      <c r="I72" s="21"/>
      <c r="J72" s="19"/>
      <c r="K72" s="13"/>
    </row>
    <row r="73" spans="1:11" s="12" customFormat="1" x14ac:dyDescent="0.25">
      <c r="A73" s="7"/>
      <c r="B73" s="13"/>
      <c r="C73" s="24" t="s">
        <v>188</v>
      </c>
      <c r="E73" s="2"/>
      <c r="F73" s="23"/>
      <c r="G73" s="52" t="s">
        <v>60</v>
      </c>
      <c r="H73" s="52"/>
      <c r="I73" s="21"/>
      <c r="J73" s="19"/>
      <c r="K73" s="13"/>
    </row>
    <row r="74" spans="1:11" s="12" customFormat="1" ht="18" x14ac:dyDescent="0.25">
      <c r="A74" s="53" t="s">
        <v>0</v>
      </c>
      <c r="B74" s="53"/>
      <c r="C74" s="53"/>
      <c r="D74" s="53"/>
      <c r="E74" s="53"/>
      <c r="F74" s="53"/>
      <c r="G74" s="53"/>
      <c r="H74" s="53"/>
      <c r="I74" s="53"/>
      <c r="J74" s="19"/>
      <c r="K74" s="13"/>
    </row>
    <row r="75" spans="1:11" s="12" customFormat="1" ht="14.25" x14ac:dyDescent="0.2">
      <c r="A75" s="54" t="s">
        <v>1</v>
      </c>
      <c r="B75" s="54"/>
      <c r="C75" s="54"/>
      <c r="D75" s="54"/>
      <c r="E75" s="54"/>
      <c r="F75" s="54"/>
      <c r="G75" s="54"/>
      <c r="H75" s="54"/>
      <c r="I75" s="54"/>
      <c r="J75" s="19"/>
      <c r="K75" s="13"/>
    </row>
    <row r="76" spans="1:11" s="12" customFormat="1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19"/>
      <c r="K76" s="13"/>
    </row>
    <row r="77" spans="1:11" s="12" customFormat="1" ht="15.75" x14ac:dyDescent="0.25">
      <c r="A77" s="50" t="s">
        <v>2</v>
      </c>
      <c r="B77" s="50"/>
      <c r="C77" s="50"/>
      <c r="D77" s="50"/>
      <c r="E77" s="50"/>
      <c r="F77" s="50"/>
      <c r="G77" s="50"/>
      <c r="H77" s="50"/>
      <c r="I77" s="50"/>
      <c r="J77" s="19"/>
      <c r="K77" s="13"/>
    </row>
    <row r="78" spans="1:11" s="7" customFormat="1" x14ac:dyDescent="0.25">
      <c r="B78" s="25"/>
      <c r="E78" s="4"/>
      <c r="G78" s="14"/>
      <c r="I78" s="14"/>
      <c r="J78" s="60"/>
      <c r="K78" s="25"/>
    </row>
    <row r="79" spans="1:11" s="4" customFormat="1" x14ac:dyDescent="0.25">
      <c r="A79" s="55" t="s">
        <v>61</v>
      </c>
      <c r="B79" s="55"/>
      <c r="C79" s="55"/>
      <c r="D79" s="55"/>
      <c r="E79" s="55"/>
      <c r="F79" s="5">
        <v>44926</v>
      </c>
      <c r="G79" s="6" t="s">
        <v>4</v>
      </c>
      <c r="H79" s="5">
        <v>44561</v>
      </c>
      <c r="I79" s="6" t="s">
        <v>4</v>
      </c>
      <c r="J79" s="59"/>
      <c r="K79" s="31"/>
    </row>
    <row r="80" spans="1:11" s="7" customFormat="1" ht="19.5" x14ac:dyDescent="0.55000000000000004">
      <c r="A80" s="7" t="s">
        <v>5</v>
      </c>
      <c r="B80" s="25"/>
      <c r="E80" s="4"/>
      <c r="F80" s="16">
        <f>SUM(F81:F91)-F84-F85</f>
        <v>17159923.060000002</v>
      </c>
      <c r="G80" s="6">
        <f>F80/F100*100</f>
        <v>42.591263736815762</v>
      </c>
      <c r="H80" s="16">
        <v>17871160.359999999</v>
      </c>
      <c r="I80" s="6">
        <v>55.990278439092435</v>
      </c>
      <c r="J80" s="60"/>
      <c r="K80" s="25"/>
    </row>
    <row r="81" spans="1:11" s="12" customFormat="1" ht="12.75" x14ac:dyDescent="0.2">
      <c r="B81" s="13"/>
      <c r="C81" s="12" t="s">
        <v>62</v>
      </c>
      <c r="E81" s="2"/>
      <c r="F81" s="13">
        <f>[1]Plan4!N51</f>
        <v>4493185.6500000004</v>
      </c>
      <c r="H81" s="13">
        <v>4841306.6399999997</v>
      </c>
      <c r="J81" s="19"/>
      <c r="K81" s="13"/>
    </row>
    <row r="82" spans="1:11" s="12" customFormat="1" ht="12.75" x14ac:dyDescent="0.2">
      <c r="B82" s="13" t="s">
        <v>63</v>
      </c>
      <c r="C82" s="12" t="s">
        <v>64</v>
      </c>
      <c r="E82" s="2"/>
      <c r="F82" s="13">
        <v>3068551.55</v>
      </c>
      <c r="H82" s="13">
        <v>2556003.41</v>
      </c>
      <c r="J82" s="19"/>
      <c r="K82" s="13"/>
    </row>
    <row r="83" spans="1:11" s="12" customFormat="1" ht="12.75" x14ac:dyDescent="0.2">
      <c r="B83" s="13"/>
      <c r="C83" s="12" t="s">
        <v>65</v>
      </c>
      <c r="E83" s="2"/>
      <c r="F83" s="13">
        <f>F84+F85</f>
        <v>5830803.2000000002</v>
      </c>
      <c r="H83" s="13">
        <v>7410520.7000000002</v>
      </c>
      <c r="J83" s="19"/>
      <c r="K83" s="13"/>
    </row>
    <row r="84" spans="1:11" s="12" customFormat="1" ht="12.75" x14ac:dyDescent="0.2">
      <c r="B84" s="13"/>
      <c r="C84" s="12" t="s">
        <v>66</v>
      </c>
      <c r="E84" s="2"/>
      <c r="F84" s="13">
        <f>[1]Plan4!N52</f>
        <v>2345750.34</v>
      </c>
      <c r="H84" s="13">
        <v>1961624.87</v>
      </c>
      <c r="J84" s="19"/>
      <c r="K84" s="13"/>
    </row>
    <row r="85" spans="1:11" s="12" customFormat="1" ht="12.75" x14ac:dyDescent="0.2">
      <c r="B85" s="13"/>
      <c r="C85" s="12" t="s">
        <v>67</v>
      </c>
      <c r="E85" s="2"/>
      <c r="F85" s="13">
        <f>[1]Plan4!N54+[1]Plan4!N56</f>
        <v>3485052.8600000003</v>
      </c>
      <c r="H85" s="13">
        <v>5448895.8300000001</v>
      </c>
      <c r="J85" s="19"/>
      <c r="K85" s="13"/>
    </row>
    <row r="86" spans="1:11" s="12" customFormat="1" ht="12.75" x14ac:dyDescent="0.2">
      <c r="B86" s="13"/>
      <c r="C86" s="12" t="s">
        <v>68</v>
      </c>
      <c r="E86" s="2"/>
      <c r="F86" s="13">
        <f>[1]Plan4!N55+[1]Plan4!N58+[1]Plan4!N59+[1]Plan4!N60+[1]Plan4!N61</f>
        <v>847109.70000000007</v>
      </c>
      <c r="H86" s="13">
        <v>1123255.25</v>
      </c>
      <c r="J86" s="19"/>
      <c r="K86" s="13"/>
    </row>
    <row r="87" spans="1:11" s="12" customFormat="1" ht="12.75" x14ac:dyDescent="0.2">
      <c r="B87" s="13"/>
      <c r="C87" s="12" t="s">
        <v>69</v>
      </c>
      <c r="E87" s="2"/>
      <c r="F87" s="13">
        <f>[1]Plan4!N62</f>
        <v>765463.3</v>
      </c>
      <c r="H87" s="13">
        <v>912197.55</v>
      </c>
      <c r="J87" s="19"/>
      <c r="K87" s="13"/>
    </row>
    <row r="88" spans="1:11" s="12" customFormat="1" ht="12.75" x14ac:dyDescent="0.2">
      <c r="B88" s="13"/>
      <c r="C88" s="12" t="s">
        <v>70</v>
      </c>
      <c r="E88" s="2"/>
      <c r="F88" s="13">
        <v>451230.12</v>
      </c>
      <c r="H88" s="13">
        <v>225284.09</v>
      </c>
      <c r="J88" s="19"/>
      <c r="K88" s="13"/>
    </row>
    <row r="89" spans="1:11" s="12" customFormat="1" ht="12.75" hidden="1" x14ac:dyDescent="0.2">
      <c r="B89" s="13"/>
      <c r="C89" s="12" t="s">
        <v>71</v>
      </c>
      <c r="E89" s="2"/>
      <c r="F89" s="13"/>
      <c r="H89" s="13">
        <v>0</v>
      </c>
      <c r="J89" s="19"/>
      <c r="K89" s="13"/>
    </row>
    <row r="90" spans="1:11" s="12" customFormat="1" ht="12.75" x14ac:dyDescent="0.2">
      <c r="B90" s="13"/>
      <c r="C90" s="12" t="s">
        <v>72</v>
      </c>
      <c r="E90" s="2"/>
      <c r="F90" s="13">
        <f>[1]Plan4!N57</f>
        <v>1697539.21</v>
      </c>
      <c r="H90" s="13">
        <v>754803.77</v>
      </c>
      <c r="J90" s="19"/>
      <c r="K90" s="13"/>
    </row>
    <row r="91" spans="1:11" s="12" customFormat="1" ht="12.75" x14ac:dyDescent="0.2">
      <c r="B91" s="13"/>
      <c r="C91" s="12" t="s">
        <v>73</v>
      </c>
      <c r="E91" s="2"/>
      <c r="F91" s="13">
        <v>6040.33</v>
      </c>
      <c r="H91" s="13">
        <v>47788.95</v>
      </c>
      <c r="J91" s="19"/>
      <c r="K91" s="13"/>
    </row>
    <row r="92" spans="1:11" s="27" customFormat="1" ht="19.5" x14ac:dyDescent="0.55000000000000004">
      <c r="A92" s="7" t="s">
        <v>31</v>
      </c>
      <c r="B92" s="26"/>
      <c r="E92" s="1"/>
      <c r="F92" s="16">
        <f>SUM(F94:F96)</f>
        <v>24121155.699999999</v>
      </c>
      <c r="G92" s="6">
        <f>F92/F100*100</f>
        <v>59.869178927163368</v>
      </c>
      <c r="H92" s="16">
        <v>10968233.560000001</v>
      </c>
      <c r="I92" s="6">
        <v>35.847691143880915</v>
      </c>
      <c r="J92" s="60"/>
      <c r="K92" s="26"/>
    </row>
    <row r="93" spans="1:11" s="7" customFormat="1" x14ac:dyDescent="0.25">
      <c r="B93" s="25" t="s">
        <v>74</v>
      </c>
      <c r="E93" s="4"/>
      <c r="F93" s="25">
        <f>SUM(F94:F96)</f>
        <v>24121155.699999999</v>
      </c>
      <c r="G93" s="6"/>
      <c r="H93" s="25">
        <v>10968233.560000001</v>
      </c>
      <c r="I93" s="6"/>
      <c r="J93" s="60"/>
      <c r="K93" s="25"/>
    </row>
    <row r="94" spans="1:11" s="12" customFormat="1" x14ac:dyDescent="0.25">
      <c r="A94" s="14"/>
      <c r="B94" s="13"/>
      <c r="C94" s="12" t="s">
        <v>75</v>
      </c>
      <c r="E94" s="2"/>
      <c r="F94" s="13">
        <f>[1]Plan4!N72+[1]Plan4!N81</f>
        <v>19027215.43</v>
      </c>
      <c r="G94" s="6"/>
      <c r="H94" s="13">
        <v>7657040.4800000004</v>
      </c>
      <c r="I94" s="6"/>
      <c r="J94" s="60"/>
      <c r="K94" s="13"/>
    </row>
    <row r="95" spans="1:11" s="12" customFormat="1" x14ac:dyDescent="0.25">
      <c r="B95" s="13"/>
      <c r="C95" s="12" t="s">
        <v>76</v>
      </c>
      <c r="E95" s="2"/>
      <c r="F95" s="13">
        <f>[1]Plan4!N74</f>
        <v>4851033.6100000003</v>
      </c>
      <c r="H95" s="13">
        <v>3068286.42</v>
      </c>
      <c r="J95" s="60"/>
      <c r="K95" s="13"/>
    </row>
    <row r="96" spans="1:11" s="12" customFormat="1" x14ac:dyDescent="0.25">
      <c r="B96" s="13"/>
      <c r="C96" s="12" t="s">
        <v>77</v>
      </c>
      <c r="E96" s="2"/>
      <c r="F96" s="13">
        <f>[1]Plan4!N82</f>
        <v>242906.66</v>
      </c>
      <c r="H96" s="13">
        <v>242906.66</v>
      </c>
      <c r="J96" s="60"/>
      <c r="K96" s="13"/>
    </row>
    <row r="97" spans="1:11" s="27" customFormat="1" ht="19.5" x14ac:dyDescent="0.55000000000000004">
      <c r="A97" s="7" t="s">
        <v>78</v>
      </c>
      <c r="B97" s="26"/>
      <c r="E97" s="1"/>
      <c r="F97" s="16">
        <f>SUM(F98:F99)</f>
        <v>-991306.74000000046</v>
      </c>
      <c r="G97" s="6">
        <f>F97/F100*100</f>
        <v>-2.4604426639791162</v>
      </c>
      <c r="H97" s="16">
        <v>2784295.04</v>
      </c>
      <c r="I97" s="6">
        <v>8.1620304170266511</v>
      </c>
      <c r="J97" s="60"/>
      <c r="K97" s="26"/>
    </row>
    <row r="98" spans="1:11" s="12" customFormat="1" x14ac:dyDescent="0.25">
      <c r="B98" s="13"/>
      <c r="C98" s="12" t="s">
        <v>79</v>
      </c>
      <c r="E98" s="2"/>
      <c r="F98" s="13">
        <v>1306718.3600000001</v>
      </c>
      <c r="H98" s="13">
        <v>1306718.3600000001</v>
      </c>
      <c r="J98" s="60"/>
      <c r="K98" s="13"/>
    </row>
    <row r="99" spans="1:11" s="12" customFormat="1" x14ac:dyDescent="0.25">
      <c r="A99" s="27" t="s">
        <v>63</v>
      </c>
      <c r="B99" s="13"/>
      <c r="C99" s="12" t="s">
        <v>80</v>
      </c>
      <c r="E99" s="2"/>
      <c r="F99" s="13">
        <f>759556.98+F212</f>
        <v>-2298025.1000000006</v>
      </c>
      <c r="H99" s="13">
        <v>1477576.68</v>
      </c>
      <c r="J99" s="60"/>
      <c r="K99" s="13"/>
    </row>
    <row r="100" spans="1:11" s="27" customFormat="1" x14ac:dyDescent="0.25">
      <c r="A100" s="7" t="s">
        <v>81</v>
      </c>
      <c r="B100" s="26"/>
      <c r="E100" s="1"/>
      <c r="F100" s="25">
        <f>F97+F92+F80</f>
        <v>40289772.019999996</v>
      </c>
      <c r="G100" s="6">
        <f>F100/F100*100</f>
        <v>100</v>
      </c>
      <c r="H100" s="25">
        <v>31623688.960000001</v>
      </c>
      <c r="I100" s="6">
        <v>100</v>
      </c>
      <c r="J100" s="60"/>
      <c r="K100" s="26"/>
    </row>
    <row r="101" spans="1:11" s="27" customFormat="1" x14ac:dyDescent="0.25">
      <c r="A101" s="7"/>
      <c r="B101" s="26"/>
      <c r="E101" s="1"/>
      <c r="F101" s="25"/>
      <c r="G101" s="25"/>
      <c r="H101" s="25"/>
      <c r="I101" s="21"/>
      <c r="J101" s="63"/>
      <c r="K101" s="26"/>
    </row>
    <row r="102" spans="1:11" s="27" customFormat="1" x14ac:dyDescent="0.25">
      <c r="A102" s="7"/>
      <c r="B102" s="26"/>
      <c r="E102" s="1"/>
      <c r="F102" s="25"/>
      <c r="G102" s="25"/>
      <c r="H102" s="25"/>
      <c r="I102" s="21"/>
      <c r="J102" s="63"/>
      <c r="K102" s="26"/>
    </row>
    <row r="103" spans="1:11" s="12" customFormat="1" ht="12.75" x14ac:dyDescent="0.2">
      <c r="B103" s="13"/>
      <c r="E103" s="2"/>
      <c r="F103" s="14"/>
      <c r="H103" s="14"/>
      <c r="J103" s="19"/>
      <c r="K103" s="13"/>
    </row>
    <row r="104" spans="1:11" s="12" customFormat="1" ht="12.75" x14ac:dyDescent="0.2">
      <c r="A104" s="52" t="str">
        <f>A66</f>
        <v>Carazinho, 31 de dezembro de 2.022</v>
      </c>
      <c r="B104" s="52"/>
      <c r="C104" s="52"/>
      <c r="D104" s="52"/>
      <c r="E104" s="52"/>
      <c r="F104" s="52"/>
      <c r="G104" s="52"/>
      <c r="H104" s="52"/>
      <c r="I104" s="52"/>
      <c r="J104" s="19"/>
      <c r="K104" s="13"/>
    </row>
    <row r="105" spans="1:11" s="12" customFormat="1" ht="12.75" x14ac:dyDescent="0.2">
      <c r="B105" s="13"/>
      <c r="E105" s="2"/>
      <c r="F105" s="14"/>
      <c r="H105" s="14"/>
      <c r="J105" s="19"/>
      <c r="K105" s="13"/>
    </row>
    <row r="106" spans="1:11" s="12" customFormat="1" ht="12.75" x14ac:dyDescent="0.2">
      <c r="B106" s="13"/>
      <c r="E106" s="2"/>
      <c r="F106" s="14"/>
      <c r="H106" s="14"/>
      <c r="J106" s="19"/>
      <c r="K106" s="13"/>
    </row>
    <row r="107" spans="1:11" s="12" customFormat="1" ht="12.75" x14ac:dyDescent="0.2">
      <c r="B107" s="13"/>
      <c r="C107" s="2" t="s">
        <v>186</v>
      </c>
      <c r="E107" s="2"/>
      <c r="F107" s="22"/>
      <c r="G107" s="52" t="s">
        <v>58</v>
      </c>
      <c r="H107" s="52"/>
      <c r="I107" s="6"/>
      <c r="J107" s="19"/>
      <c r="K107" s="13"/>
    </row>
    <row r="108" spans="1:11" s="12" customFormat="1" ht="12.75" x14ac:dyDescent="0.2">
      <c r="B108" s="13"/>
      <c r="C108" s="2" t="s">
        <v>187</v>
      </c>
      <c r="E108" s="2"/>
      <c r="F108" s="23"/>
      <c r="G108" s="52" t="s">
        <v>59</v>
      </c>
      <c r="H108" s="52"/>
      <c r="I108" s="6"/>
      <c r="J108" s="19"/>
      <c r="K108" s="13"/>
    </row>
    <row r="109" spans="1:11" s="12" customFormat="1" ht="12.75" x14ac:dyDescent="0.2">
      <c r="B109" s="13"/>
      <c r="C109" s="24" t="s">
        <v>188</v>
      </c>
      <c r="E109" s="2"/>
      <c r="F109" s="23"/>
      <c r="G109" s="52" t="s">
        <v>60</v>
      </c>
      <c r="H109" s="52"/>
      <c r="I109" s="6"/>
      <c r="J109" s="19"/>
      <c r="K109" s="13"/>
    </row>
    <row r="110" spans="1:11" s="12" customFormat="1" ht="12.75" x14ac:dyDescent="0.2">
      <c r="B110" s="13"/>
      <c r="E110" s="2"/>
      <c r="F110" s="14"/>
      <c r="H110" s="14"/>
      <c r="J110" s="19"/>
      <c r="K110" s="13"/>
    </row>
    <row r="111" spans="1:11" s="12" customFormat="1" ht="12.75" x14ac:dyDescent="0.2">
      <c r="B111" s="13"/>
      <c r="E111" s="2"/>
      <c r="F111" s="14"/>
      <c r="H111" s="14"/>
      <c r="J111" s="19"/>
      <c r="K111" s="13"/>
    </row>
    <row r="112" spans="1:11" s="12" customFormat="1" ht="12.75" x14ac:dyDescent="0.2">
      <c r="B112" s="13"/>
      <c r="E112" s="2"/>
      <c r="F112" s="14"/>
      <c r="H112" s="14"/>
      <c r="J112" s="19"/>
      <c r="K112" s="13"/>
    </row>
    <row r="113" spans="2:11" s="12" customFormat="1" ht="12.75" x14ac:dyDescent="0.2">
      <c r="B113" s="13"/>
      <c r="E113" s="2"/>
      <c r="F113" s="28"/>
      <c r="G113" s="28"/>
      <c r="H113" s="28"/>
      <c r="I113" s="28"/>
      <c r="J113" s="64"/>
      <c r="K113" s="13"/>
    </row>
    <row r="114" spans="2:11" s="12" customFormat="1" ht="12.75" x14ac:dyDescent="0.2">
      <c r="B114" s="13"/>
      <c r="E114" s="2"/>
      <c r="F114" s="29"/>
      <c r="G114" s="29"/>
      <c r="H114" s="29"/>
      <c r="I114" s="29"/>
      <c r="J114" s="19"/>
      <c r="K114" s="13"/>
    </row>
    <row r="115" spans="2:11" s="12" customFormat="1" ht="12.75" x14ac:dyDescent="0.2">
      <c r="B115" s="13"/>
      <c r="E115" s="2"/>
      <c r="F115" s="14"/>
      <c r="H115" s="14"/>
      <c r="J115" s="19"/>
      <c r="K115" s="13"/>
    </row>
    <row r="116" spans="2:11" s="12" customFormat="1" ht="12.75" x14ac:dyDescent="0.2">
      <c r="B116" s="13"/>
      <c r="E116" s="2"/>
      <c r="F116" s="14"/>
      <c r="H116" s="14"/>
      <c r="J116" s="19"/>
      <c r="K116" s="13"/>
    </row>
    <row r="117" spans="2:11" s="12" customFormat="1" ht="12.75" x14ac:dyDescent="0.2">
      <c r="B117" s="13"/>
      <c r="E117" s="2"/>
      <c r="F117" s="14"/>
      <c r="H117" s="14"/>
      <c r="J117" s="19"/>
      <c r="K117" s="13"/>
    </row>
    <row r="118" spans="2:11" s="12" customFormat="1" ht="12.75" x14ac:dyDescent="0.2">
      <c r="B118" s="13"/>
      <c r="E118" s="2"/>
      <c r="F118" s="14"/>
      <c r="H118" s="14"/>
      <c r="J118" s="19"/>
      <c r="K118" s="13"/>
    </row>
    <row r="119" spans="2:11" s="12" customFormat="1" ht="12.75" x14ac:dyDescent="0.2">
      <c r="B119" s="13"/>
      <c r="E119" s="2"/>
      <c r="F119" s="14"/>
      <c r="H119" s="14"/>
      <c r="J119" s="19"/>
      <c r="K119" s="13"/>
    </row>
    <row r="120" spans="2:11" s="12" customFormat="1" ht="12.75" x14ac:dyDescent="0.2">
      <c r="B120" s="13"/>
      <c r="E120" s="2"/>
      <c r="F120" s="14"/>
      <c r="H120" s="14"/>
      <c r="J120" s="19"/>
      <c r="K120" s="13"/>
    </row>
    <row r="121" spans="2:11" s="12" customFormat="1" ht="12.75" x14ac:dyDescent="0.2">
      <c r="B121" s="13"/>
      <c r="E121" s="2"/>
      <c r="F121" s="14"/>
      <c r="H121" s="14"/>
      <c r="J121" s="19"/>
      <c r="K121" s="13"/>
    </row>
    <row r="122" spans="2:11" s="12" customFormat="1" ht="12.75" x14ac:dyDescent="0.2">
      <c r="B122" s="13"/>
      <c r="E122" s="2"/>
      <c r="F122" s="14"/>
      <c r="H122" s="14"/>
      <c r="J122" s="19"/>
      <c r="K122" s="13"/>
    </row>
    <row r="123" spans="2:11" s="12" customFormat="1" ht="12.75" x14ac:dyDescent="0.2">
      <c r="B123" s="13"/>
      <c r="E123" s="2"/>
      <c r="F123" s="14"/>
      <c r="H123" s="14"/>
      <c r="J123" s="19"/>
      <c r="K123" s="13"/>
    </row>
    <row r="124" spans="2:11" s="12" customFormat="1" ht="12.75" x14ac:dyDescent="0.2">
      <c r="B124" s="13"/>
      <c r="E124" s="2"/>
      <c r="F124" s="14"/>
      <c r="H124" s="14"/>
      <c r="J124" s="19"/>
      <c r="K124" s="13"/>
    </row>
    <row r="125" spans="2:11" s="12" customFormat="1" ht="12.75" x14ac:dyDescent="0.2">
      <c r="J125" s="19"/>
      <c r="K125" s="13"/>
    </row>
    <row r="126" spans="2:11" s="12" customFormat="1" ht="12.75" x14ac:dyDescent="0.2">
      <c r="B126" s="13"/>
      <c r="E126" s="2"/>
      <c r="F126" s="14"/>
      <c r="H126" s="14"/>
      <c r="J126" s="19"/>
      <c r="K126" s="13"/>
    </row>
    <row r="127" spans="2:11" s="12" customFormat="1" ht="12.75" x14ac:dyDescent="0.2">
      <c r="B127" s="13"/>
      <c r="E127" s="2"/>
      <c r="F127" s="14"/>
      <c r="H127" s="14"/>
      <c r="J127" s="19"/>
      <c r="K127" s="13"/>
    </row>
    <row r="128" spans="2:11" s="12" customFormat="1" ht="12.75" x14ac:dyDescent="0.2">
      <c r="E128" s="2"/>
      <c r="F128" s="14"/>
      <c r="H128" s="14"/>
      <c r="I128" s="6"/>
      <c r="J128" s="19"/>
      <c r="K128" s="13"/>
    </row>
    <row r="129" spans="2:11" s="12" customFormat="1" ht="12.75" x14ac:dyDescent="0.2">
      <c r="E129" s="2"/>
      <c r="F129" s="14"/>
      <c r="H129" s="14"/>
      <c r="I129" s="6"/>
      <c r="J129" s="19"/>
      <c r="K129" s="13"/>
    </row>
    <row r="130" spans="2:11" s="12" customFormat="1" ht="12.75" x14ac:dyDescent="0.2">
      <c r="E130" s="2"/>
      <c r="F130" s="14"/>
      <c r="H130" s="14"/>
      <c r="I130" s="6"/>
      <c r="J130" s="19"/>
      <c r="K130" s="13"/>
    </row>
    <row r="131" spans="2:11" s="12" customFormat="1" ht="12.75" x14ac:dyDescent="0.2">
      <c r="B131" s="13"/>
      <c r="E131" s="2"/>
      <c r="F131" s="14"/>
      <c r="H131" s="14"/>
      <c r="J131" s="19"/>
      <c r="K131" s="13"/>
    </row>
    <row r="132" spans="2:11" s="12" customFormat="1" ht="12.75" x14ac:dyDescent="0.2">
      <c r="B132" s="13"/>
      <c r="E132" s="2"/>
      <c r="F132" s="14"/>
      <c r="H132" s="14"/>
      <c r="J132" s="19"/>
      <c r="K132" s="13"/>
    </row>
    <row r="133" spans="2:11" s="12" customFormat="1" ht="12.75" x14ac:dyDescent="0.2">
      <c r="B133" s="13"/>
      <c r="E133" s="2"/>
      <c r="F133" s="14"/>
      <c r="H133" s="14"/>
      <c r="J133" s="19"/>
      <c r="K133" s="13"/>
    </row>
    <row r="134" spans="2:11" s="12" customFormat="1" ht="12.75" x14ac:dyDescent="0.2">
      <c r="B134" s="13"/>
      <c r="E134" s="2"/>
      <c r="F134" s="14"/>
      <c r="H134" s="14"/>
      <c r="J134" s="19"/>
      <c r="K134" s="13"/>
    </row>
    <row r="135" spans="2:11" s="12" customFormat="1" ht="12.75" x14ac:dyDescent="0.2">
      <c r="B135" s="13"/>
      <c r="E135" s="2"/>
      <c r="F135" s="14"/>
      <c r="H135" s="14"/>
      <c r="J135" s="19"/>
      <c r="K135" s="13"/>
    </row>
    <row r="136" spans="2:11" s="12" customFormat="1" ht="12.75" x14ac:dyDescent="0.2">
      <c r="B136" s="13"/>
      <c r="E136" s="2"/>
      <c r="F136" s="14"/>
      <c r="H136" s="14"/>
      <c r="J136" s="19"/>
      <c r="K136" s="13"/>
    </row>
    <row r="137" spans="2:11" s="12" customFormat="1" ht="12.75" x14ac:dyDescent="0.2">
      <c r="B137" s="13"/>
      <c r="E137" s="2"/>
      <c r="F137" s="14"/>
      <c r="H137" s="14"/>
      <c r="J137" s="19"/>
      <c r="K137" s="13"/>
    </row>
    <row r="138" spans="2:11" s="12" customFormat="1" ht="12.75" x14ac:dyDescent="0.2">
      <c r="B138" s="13"/>
      <c r="E138" s="2"/>
      <c r="F138" s="14"/>
      <c r="H138" s="14"/>
      <c r="J138" s="19"/>
      <c r="K138" s="13"/>
    </row>
    <row r="139" spans="2:11" s="12" customFormat="1" ht="12.75" x14ac:dyDescent="0.2">
      <c r="B139" s="13"/>
      <c r="E139" s="2"/>
      <c r="F139" s="14"/>
      <c r="H139" s="14"/>
      <c r="J139" s="19"/>
      <c r="K139" s="13"/>
    </row>
    <row r="140" spans="2:11" s="12" customFormat="1" ht="12.75" x14ac:dyDescent="0.2">
      <c r="B140" s="13"/>
      <c r="E140" s="2"/>
      <c r="F140" s="14"/>
      <c r="H140" s="14"/>
      <c r="J140" s="19"/>
      <c r="K140" s="13"/>
    </row>
    <row r="141" spans="2:11" s="12" customFormat="1" ht="14.25" customHeight="1" x14ac:dyDescent="0.2">
      <c r="B141" s="13"/>
      <c r="E141" s="2"/>
      <c r="F141" s="14"/>
      <c r="H141" s="14"/>
      <c r="J141" s="19"/>
      <c r="K141" s="13"/>
    </row>
    <row r="142" spans="2:11" s="12" customFormat="1" ht="14.25" customHeight="1" x14ac:dyDescent="0.2">
      <c r="B142" s="13"/>
      <c r="E142" s="2"/>
      <c r="F142" s="14"/>
      <c r="H142" s="14"/>
      <c r="J142" s="19"/>
      <c r="K142" s="13"/>
    </row>
    <row r="143" spans="2:11" s="12" customFormat="1" ht="14.25" customHeight="1" x14ac:dyDescent="0.2">
      <c r="B143" s="13"/>
      <c r="E143" s="2"/>
      <c r="F143" s="14"/>
      <c r="H143" s="14"/>
      <c r="J143" s="19"/>
      <c r="K143" s="13"/>
    </row>
    <row r="144" spans="2:11" s="12" customFormat="1" ht="14.25" customHeight="1" x14ac:dyDescent="0.2">
      <c r="B144" s="13"/>
      <c r="E144" s="2"/>
      <c r="F144" s="14"/>
      <c r="H144" s="14"/>
      <c r="J144" s="19"/>
      <c r="K144" s="13"/>
    </row>
    <row r="145" spans="1:11" s="12" customFormat="1" ht="14.25" customHeight="1" x14ac:dyDescent="0.2">
      <c r="B145" s="13"/>
      <c r="E145" s="2"/>
      <c r="F145" s="14"/>
      <c r="H145" s="14"/>
      <c r="J145" s="19"/>
      <c r="K145" s="13"/>
    </row>
    <row r="146" spans="1:11" s="12" customFormat="1" ht="14.25" customHeight="1" x14ac:dyDescent="0.2">
      <c r="B146" s="13"/>
      <c r="E146" s="2"/>
      <c r="F146" s="14"/>
      <c r="H146" s="14"/>
      <c r="J146" s="19"/>
      <c r="K146" s="13"/>
    </row>
    <row r="147" spans="1:11" s="12" customFormat="1" ht="14.25" customHeight="1" x14ac:dyDescent="0.2">
      <c r="B147" s="13"/>
      <c r="E147" s="2"/>
      <c r="F147" s="14"/>
      <c r="H147" s="14"/>
      <c r="J147" s="19"/>
      <c r="K147" s="13"/>
    </row>
    <row r="148" spans="1:11" s="12" customFormat="1" ht="14.25" customHeight="1" x14ac:dyDescent="0.2">
      <c r="B148" s="13"/>
      <c r="E148" s="2"/>
      <c r="F148" s="14"/>
      <c r="H148" s="14"/>
      <c r="J148" s="19"/>
      <c r="K148" s="13"/>
    </row>
    <row r="149" spans="1:11" s="12" customFormat="1" ht="14.25" customHeight="1" x14ac:dyDescent="0.2">
      <c r="B149" s="13"/>
      <c r="E149" s="2"/>
      <c r="F149" s="14"/>
      <c r="H149" s="14"/>
      <c r="J149" s="19"/>
      <c r="K149" s="13"/>
    </row>
    <row r="150" spans="1:11" s="12" customFormat="1" ht="14.25" customHeight="1" x14ac:dyDescent="0.2">
      <c r="B150" s="13"/>
      <c r="E150" s="2"/>
      <c r="F150" s="14"/>
      <c r="H150" s="14"/>
      <c r="J150" s="19"/>
      <c r="K150" s="13"/>
    </row>
    <row r="151" spans="1:11" s="12" customFormat="1" ht="14.25" customHeight="1" x14ac:dyDescent="0.2">
      <c r="B151" s="13"/>
      <c r="E151" s="2"/>
      <c r="F151" s="14"/>
      <c r="H151" s="14"/>
      <c r="J151" s="19"/>
      <c r="K151" s="13"/>
    </row>
    <row r="152" spans="1:11" s="12" customFormat="1" ht="14.25" customHeight="1" x14ac:dyDescent="0.2">
      <c r="B152" s="13"/>
      <c r="E152" s="2"/>
      <c r="F152" s="14"/>
      <c r="H152" s="14"/>
      <c r="J152" s="19"/>
      <c r="K152" s="13"/>
    </row>
    <row r="153" spans="1:11" s="12" customFormat="1" ht="14.25" customHeight="1" x14ac:dyDescent="0.2">
      <c r="B153" s="13"/>
      <c r="E153" s="2"/>
      <c r="F153" s="14"/>
      <c r="H153" s="14"/>
      <c r="J153" s="19"/>
      <c r="K153" s="13"/>
    </row>
    <row r="154" spans="1:11" s="12" customFormat="1" ht="18" x14ac:dyDescent="0.25">
      <c r="A154" s="53" t="s">
        <v>0</v>
      </c>
      <c r="B154" s="53"/>
      <c r="C154" s="53"/>
      <c r="D154" s="53"/>
      <c r="E154" s="53"/>
      <c r="F154" s="53"/>
      <c r="G154" s="53"/>
      <c r="H154" s="53"/>
      <c r="I154" s="53"/>
      <c r="J154" s="19"/>
      <c r="K154" s="13"/>
    </row>
    <row r="155" spans="1:11" s="12" customFormat="1" ht="14.25" x14ac:dyDescent="0.2">
      <c r="A155" s="54" t="s">
        <v>1</v>
      </c>
      <c r="B155" s="54"/>
      <c r="C155" s="54"/>
      <c r="D155" s="54"/>
      <c r="E155" s="54"/>
      <c r="F155" s="54"/>
      <c r="G155" s="54"/>
      <c r="H155" s="54"/>
      <c r="I155" s="54"/>
      <c r="J155" s="19"/>
      <c r="K155" s="13"/>
    </row>
    <row r="156" spans="1:11" s="12" customFormat="1" ht="14.2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9"/>
      <c r="K156" s="13"/>
    </row>
    <row r="157" spans="1:11" s="67" customFormat="1" ht="15.75" x14ac:dyDescent="0.25">
      <c r="A157" s="50" t="s">
        <v>82</v>
      </c>
      <c r="B157" s="50"/>
      <c r="C157" s="50"/>
      <c r="D157" s="50"/>
      <c r="E157" s="50"/>
      <c r="F157" s="50"/>
      <c r="G157" s="50"/>
      <c r="H157" s="50"/>
      <c r="I157" s="50"/>
      <c r="J157" s="65"/>
      <c r="K157" s="66"/>
    </row>
    <row r="158" spans="1:11" s="12" customFormat="1" ht="12.75" x14ac:dyDescent="0.2">
      <c r="B158" s="13"/>
      <c r="E158" s="2"/>
      <c r="F158" s="14"/>
      <c r="H158" s="14"/>
      <c r="J158" s="19"/>
      <c r="K158" s="13"/>
    </row>
    <row r="159" spans="1:11" s="12" customFormat="1" x14ac:dyDescent="0.25">
      <c r="B159" s="13"/>
      <c r="E159" s="2"/>
      <c r="F159" s="5">
        <v>44926</v>
      </c>
      <c r="G159" s="6" t="s">
        <v>4</v>
      </c>
      <c r="H159" s="5">
        <v>44561</v>
      </c>
      <c r="I159" s="6" t="s">
        <v>4</v>
      </c>
      <c r="J159" s="19"/>
      <c r="K159" s="13"/>
    </row>
    <row r="160" spans="1:11" s="7" customFormat="1" x14ac:dyDescent="0.25">
      <c r="A160" s="30"/>
      <c r="B160" s="25"/>
      <c r="E160" s="4"/>
      <c r="F160" s="25"/>
      <c r="G160" s="6"/>
      <c r="H160" s="25"/>
      <c r="I160" s="6"/>
      <c r="J160" s="60"/>
      <c r="K160" s="25"/>
    </row>
    <row r="161" spans="1:15" s="7" customFormat="1" x14ac:dyDescent="0.25">
      <c r="A161" s="7" t="s">
        <v>83</v>
      </c>
      <c r="F161" s="31">
        <f>F163+F164+F165+F170+F173+F172</f>
        <v>51388868.959999993</v>
      </c>
      <c r="G161" s="10">
        <f>F161/F161*100</f>
        <v>100</v>
      </c>
      <c r="H161" s="31">
        <v>55639556.270000003</v>
      </c>
      <c r="I161" s="10">
        <f>H161/H161*100</f>
        <v>100</v>
      </c>
      <c r="J161" s="60"/>
      <c r="K161" s="25"/>
    </row>
    <row r="162" spans="1:15" s="7" customFormat="1" x14ac:dyDescent="0.25">
      <c r="A162" s="7" t="s">
        <v>84</v>
      </c>
      <c r="F162" s="31">
        <f>F163+F164+F165+F170+F172</f>
        <v>31513225.199999996</v>
      </c>
      <c r="G162" s="10"/>
      <c r="H162" s="31">
        <v>30155551.18</v>
      </c>
      <c r="I162" s="10"/>
      <c r="J162" s="60"/>
      <c r="K162" s="25"/>
    </row>
    <row r="163" spans="1:15" s="12" customFormat="1" ht="14.25" x14ac:dyDescent="0.2">
      <c r="A163" s="27"/>
      <c r="B163" s="19" t="s">
        <v>85</v>
      </c>
      <c r="F163" s="24">
        <f>[1]Plan4!M158</f>
        <v>13492392.279999999</v>
      </c>
      <c r="G163" s="13">
        <f>F163/F$161*100</f>
        <v>26.255476240393989</v>
      </c>
      <c r="H163" s="24">
        <v>13845793</v>
      </c>
      <c r="I163" s="13">
        <f>H163/H$161*100</f>
        <v>24.884801260475616</v>
      </c>
      <c r="J163" s="19"/>
      <c r="K163" s="13"/>
    </row>
    <row r="164" spans="1:15" s="12" customFormat="1" ht="14.25" x14ac:dyDescent="0.2">
      <c r="A164" s="27"/>
      <c r="B164" s="19" t="s">
        <v>86</v>
      </c>
      <c r="F164" s="24">
        <f>[1]Plan4!M159</f>
        <v>3128474.67</v>
      </c>
      <c r="G164" s="13">
        <f>F164/F$161*100</f>
        <v>6.0878449619802657</v>
      </c>
      <c r="H164" s="24">
        <v>2047254.1</v>
      </c>
      <c r="I164" s="13">
        <f>H164/H$161*100</f>
        <v>3.6794939378476825</v>
      </c>
      <c r="J164" s="19"/>
      <c r="K164" s="13"/>
    </row>
    <row r="165" spans="1:15" s="12" customFormat="1" ht="14.25" x14ac:dyDescent="0.2">
      <c r="A165" s="27"/>
      <c r="B165" s="12" t="s">
        <v>87</v>
      </c>
      <c r="F165" s="24">
        <f>SUM(F166:F169)</f>
        <v>10501139.219999999</v>
      </c>
      <c r="G165" s="13">
        <f>F165/F$161*100</f>
        <v>20.434657217643501</v>
      </c>
      <c r="H165" s="24">
        <v>10483142.970000001</v>
      </c>
      <c r="I165" s="13">
        <f>H165/H$161*100</f>
        <v>18.841169255787811</v>
      </c>
      <c r="J165" s="68"/>
      <c r="K165" s="13"/>
      <c r="M165" s="13"/>
      <c r="O165" s="13"/>
    </row>
    <row r="166" spans="1:15" s="12" customFormat="1" ht="14.25" x14ac:dyDescent="0.2">
      <c r="A166" s="27"/>
      <c r="C166" s="12" t="s">
        <v>88</v>
      </c>
      <c r="F166" s="24">
        <f>[1]Plan4!M161</f>
        <v>3695063.11</v>
      </c>
      <c r="G166" s="13"/>
      <c r="H166" s="24">
        <v>3676244.9</v>
      </c>
      <c r="I166" s="13"/>
      <c r="J166" s="68"/>
      <c r="K166" s="13"/>
    </row>
    <row r="167" spans="1:15" s="12" customFormat="1" ht="14.25" x14ac:dyDescent="0.2">
      <c r="A167" s="27"/>
      <c r="C167" s="12" t="s">
        <v>89</v>
      </c>
      <c r="F167" s="24">
        <f>[1]Plan4!M162</f>
        <v>3389656.5</v>
      </c>
      <c r="G167" s="13"/>
      <c r="H167" s="24">
        <v>3570040.16</v>
      </c>
      <c r="I167" s="13"/>
      <c r="J167" s="68"/>
      <c r="K167" s="13"/>
    </row>
    <row r="168" spans="1:15" s="12" customFormat="1" ht="14.25" x14ac:dyDescent="0.2">
      <c r="A168" s="27"/>
      <c r="C168" s="12" t="s">
        <v>90</v>
      </c>
      <c r="F168" s="24">
        <f>[1]Plan4!M163</f>
        <v>2309926.27</v>
      </c>
      <c r="G168" s="13"/>
      <c r="H168" s="24">
        <v>1802869.55</v>
      </c>
      <c r="I168" s="13"/>
      <c r="J168" s="68"/>
      <c r="K168" s="13"/>
    </row>
    <row r="169" spans="1:15" s="12" customFormat="1" ht="14.25" x14ac:dyDescent="0.2">
      <c r="A169" s="27"/>
      <c r="C169" s="12" t="s">
        <v>91</v>
      </c>
      <c r="F169" s="24">
        <f>[1]Plan4!M164</f>
        <v>1106493.3400000001</v>
      </c>
      <c r="G169" s="13"/>
      <c r="H169" s="24">
        <v>1433988.36</v>
      </c>
      <c r="I169" s="13"/>
      <c r="J169" s="19"/>
      <c r="K169" s="13"/>
    </row>
    <row r="170" spans="1:15" s="12" customFormat="1" ht="14.25" x14ac:dyDescent="0.2">
      <c r="A170" s="27"/>
      <c r="B170" s="12" t="s">
        <v>92</v>
      </c>
      <c r="F170" s="24">
        <f>[1]Plan4!M165</f>
        <v>2959288.2</v>
      </c>
      <c r="G170" s="13">
        <f>F170/F$161*100</f>
        <v>5.7586171088985196</v>
      </c>
      <c r="H170" s="24">
        <v>2748147.8</v>
      </c>
      <c r="I170" s="13">
        <f>H170/H$161*100</f>
        <v>4.9391979092431386</v>
      </c>
      <c r="J170" s="19"/>
      <c r="K170" s="13"/>
    </row>
    <row r="171" spans="1:15" s="12" customFormat="1" ht="14.25" x14ac:dyDescent="0.2">
      <c r="A171" s="27"/>
      <c r="B171" s="12" t="s">
        <v>93</v>
      </c>
      <c r="F171" s="24">
        <f>[1]Plan4!M166</f>
        <v>-9842.66</v>
      </c>
      <c r="G171" s="13">
        <f>F171/F$161*100</f>
        <v>-1.9153291752074399E-2</v>
      </c>
      <c r="H171" s="24">
        <v>-87302.9</v>
      </c>
      <c r="I171" s="13">
        <f>H171/H$161*100</f>
        <v>-0.15690797312679575</v>
      </c>
      <c r="J171" s="19"/>
      <c r="K171" s="13"/>
    </row>
    <row r="172" spans="1:15" s="12" customFormat="1" ht="14.25" x14ac:dyDescent="0.2">
      <c r="A172" s="27"/>
      <c r="B172" s="12" t="s">
        <v>94</v>
      </c>
      <c r="F172" s="24">
        <f>[1]Plan4!M169</f>
        <v>1431930.83</v>
      </c>
      <c r="G172" s="13">
        <f>F172/F$161*100</f>
        <v>2.7864610741181806</v>
      </c>
      <c r="H172" s="24">
        <v>1031213.31</v>
      </c>
      <c r="I172" s="13">
        <f>H172/H$161*100</f>
        <v>1.853381621154327</v>
      </c>
      <c r="J172" s="19"/>
      <c r="K172" s="13"/>
    </row>
    <row r="173" spans="1:15" s="12" customFormat="1" x14ac:dyDescent="0.25">
      <c r="A173" s="7" t="s">
        <v>95</v>
      </c>
      <c r="B173" s="14"/>
      <c r="C173" s="14"/>
      <c r="D173" s="14"/>
      <c r="E173" s="14"/>
      <c r="F173" s="10">
        <f>F174</f>
        <v>19875643.760000002</v>
      </c>
      <c r="G173" s="13">
        <f>F173/F$161*100</f>
        <v>38.676943396965555</v>
      </c>
      <c r="H173" s="10">
        <v>25484005.09</v>
      </c>
      <c r="I173" s="13">
        <f>H173/H$161*100</f>
        <v>45.80195601549142</v>
      </c>
      <c r="J173" s="19"/>
      <c r="K173" s="13"/>
    </row>
    <row r="174" spans="1:15" s="12" customFormat="1" ht="14.25" x14ac:dyDescent="0.2">
      <c r="A174" s="27"/>
      <c r="B174" s="12" t="s">
        <v>96</v>
      </c>
      <c r="F174" s="24">
        <f>[1]Plan4!M168</f>
        <v>19875643.760000002</v>
      </c>
      <c r="G174" s="13"/>
      <c r="H174" s="24">
        <v>25484005.09</v>
      </c>
      <c r="I174" s="13"/>
      <c r="J174" s="19"/>
      <c r="K174" s="13"/>
    </row>
    <row r="175" spans="1:15" s="14" customFormat="1" x14ac:dyDescent="0.25">
      <c r="A175" s="7" t="s">
        <v>97</v>
      </c>
      <c r="F175" s="31">
        <f>F161+F171</f>
        <v>51379026.299999997</v>
      </c>
      <c r="G175" s="13">
        <f>F175/F$161*100</f>
        <v>99.980846708247924</v>
      </c>
      <c r="H175" s="31">
        <v>55552253.370000005</v>
      </c>
      <c r="I175" s="13">
        <f>H175/H$161*100</f>
        <v>99.843092026873208</v>
      </c>
      <c r="J175" s="64"/>
      <c r="K175" s="9"/>
    </row>
    <row r="176" spans="1:15" s="27" customFormat="1" x14ac:dyDescent="0.25">
      <c r="A176" s="7" t="s">
        <v>98</v>
      </c>
      <c r="B176" s="7"/>
      <c r="C176" s="7"/>
      <c r="D176" s="7"/>
      <c r="E176" s="7"/>
      <c r="F176" s="31">
        <f>F177+F180+F183+F184+F185+F186</f>
        <v>61389144.43</v>
      </c>
      <c r="G176" s="9">
        <f>F176/F$161*100</f>
        <v>119.46000305588358</v>
      </c>
      <c r="H176" s="31">
        <v>59155217.399999991</v>
      </c>
      <c r="I176" s="9">
        <f>H176/H$161*100</f>
        <v>106.31863617484596</v>
      </c>
      <c r="J176" s="63"/>
      <c r="K176" s="26"/>
    </row>
    <row r="177" spans="1:13" s="12" customFormat="1" ht="14.25" x14ac:dyDescent="0.2">
      <c r="A177" s="27"/>
      <c r="B177" s="14" t="s">
        <v>99</v>
      </c>
      <c r="C177" s="14"/>
      <c r="D177" s="14"/>
      <c r="E177" s="14"/>
      <c r="F177" s="10">
        <f>F178+F179</f>
        <v>23743570.850000001</v>
      </c>
      <c r="G177" s="9">
        <f>F177/F$161*100</f>
        <v>46.203723355891512</v>
      </c>
      <c r="H177" s="10">
        <v>20989366.100000001</v>
      </c>
      <c r="I177" s="9">
        <f>H177/H$161*100</f>
        <v>37.723820078912354</v>
      </c>
      <c r="J177" s="19"/>
      <c r="K177" s="13"/>
    </row>
    <row r="178" spans="1:13" s="12" customFormat="1" ht="14.25" x14ac:dyDescent="0.2">
      <c r="A178" s="27"/>
      <c r="C178" s="12" t="s">
        <v>100</v>
      </c>
      <c r="F178" s="24">
        <f>[1]Plan4!M173</f>
        <v>21864255.760000002</v>
      </c>
      <c r="G178" s="13"/>
      <c r="H178" s="24">
        <v>19367125.170000002</v>
      </c>
      <c r="I178" s="13"/>
      <c r="J178" s="19"/>
      <c r="K178" s="13"/>
    </row>
    <row r="179" spans="1:13" s="14" customFormat="1" x14ac:dyDescent="0.25">
      <c r="A179" s="7"/>
      <c r="C179" s="12" t="s">
        <v>101</v>
      </c>
      <c r="D179" s="12"/>
      <c r="E179" s="12"/>
      <c r="F179" s="24">
        <f>[1]Plan4!M174</f>
        <v>1879315.09</v>
      </c>
      <c r="G179" s="13"/>
      <c r="H179" s="24">
        <v>1622240.93</v>
      </c>
      <c r="I179" s="13"/>
      <c r="J179" s="64"/>
      <c r="K179" s="9"/>
    </row>
    <row r="180" spans="1:13" s="12" customFormat="1" ht="14.25" x14ac:dyDescent="0.2">
      <c r="A180" s="27"/>
      <c r="B180" s="14" t="s">
        <v>102</v>
      </c>
      <c r="C180" s="14"/>
      <c r="D180" s="14"/>
      <c r="E180" s="14"/>
      <c r="F180" s="10">
        <f>F181+F182</f>
        <v>18823706.289999999</v>
      </c>
      <c r="G180" s="9">
        <f>F180/F$161*100</f>
        <v>36.629929147987227</v>
      </c>
      <c r="H180" s="10">
        <v>18527605.199999999</v>
      </c>
      <c r="I180" s="9">
        <f>H180/H$161*100</f>
        <v>33.299340329192738</v>
      </c>
      <c r="J180" s="19"/>
      <c r="K180" s="13"/>
    </row>
    <row r="181" spans="1:13" s="12" customFormat="1" ht="14.25" x14ac:dyDescent="0.2">
      <c r="A181" s="27"/>
      <c r="C181" s="12" t="s">
        <v>103</v>
      </c>
      <c r="F181" s="24">
        <f>[1]Plan4!M176</f>
        <v>16430148.199999999</v>
      </c>
      <c r="G181" s="13"/>
      <c r="H181" s="24">
        <v>16007330.98</v>
      </c>
      <c r="I181" s="13"/>
      <c r="J181" s="19"/>
      <c r="K181" s="13"/>
    </row>
    <row r="182" spans="1:13" s="14" customFormat="1" x14ac:dyDescent="0.25">
      <c r="A182" s="7"/>
      <c r="C182" s="12" t="s">
        <v>104</v>
      </c>
      <c r="D182" s="12"/>
      <c r="E182" s="12"/>
      <c r="F182" s="24">
        <f>[1]Plan4!M177</f>
        <v>2393558.09</v>
      </c>
      <c r="G182" s="13"/>
      <c r="H182" s="24">
        <v>2520274.2200000002</v>
      </c>
      <c r="I182" s="13"/>
      <c r="J182" s="64"/>
      <c r="K182" s="9"/>
    </row>
    <row r="183" spans="1:13" s="12" customFormat="1" ht="14.25" x14ac:dyDescent="0.2">
      <c r="A183" s="27"/>
      <c r="B183" s="14" t="s">
        <v>105</v>
      </c>
      <c r="C183" s="14"/>
      <c r="D183" s="14"/>
      <c r="E183" s="14"/>
      <c r="F183" s="10">
        <f>[1]Plan4!M178</f>
        <v>12338109.9</v>
      </c>
      <c r="G183" s="9">
        <f>F183/F$161*100</f>
        <v>24.009304251478515</v>
      </c>
      <c r="H183" s="10">
        <v>14097185.119999999</v>
      </c>
      <c r="I183" s="9">
        <f>H183/H$161*100</f>
        <v>25.336623914811817</v>
      </c>
      <c r="J183" s="19"/>
      <c r="K183" s="13"/>
    </row>
    <row r="184" spans="1:13" s="14" customFormat="1" x14ac:dyDescent="0.25">
      <c r="A184" s="7"/>
      <c r="B184" s="14" t="s">
        <v>106</v>
      </c>
      <c r="F184" s="10">
        <f>[1]Plan4!M179</f>
        <v>2390720.98</v>
      </c>
      <c r="G184" s="9">
        <f>F184/F$161*100</f>
        <v>4.6522156030732775</v>
      </c>
      <c r="H184" s="10">
        <v>1810801.6</v>
      </c>
      <c r="I184" s="9">
        <f>H184/H$161*100</f>
        <v>3.2545220008815141</v>
      </c>
      <c r="J184" s="64"/>
      <c r="K184" s="9"/>
    </row>
    <row r="185" spans="1:13" s="12" customFormat="1" ht="14.25" x14ac:dyDescent="0.2">
      <c r="A185" s="27"/>
      <c r="B185" s="14" t="s">
        <v>107</v>
      </c>
      <c r="C185" s="14"/>
      <c r="D185" s="14"/>
      <c r="E185" s="14"/>
      <c r="F185" s="10">
        <f>[1]Plan4!M180</f>
        <v>477311.71</v>
      </c>
      <c r="G185" s="9">
        <f>F185/F$161*100</f>
        <v>0.92882314722966441</v>
      </c>
      <c r="H185" s="10">
        <v>437691.08</v>
      </c>
      <c r="I185" s="9">
        <f>H185/H$161*100</f>
        <v>0.78665451226108429</v>
      </c>
      <c r="J185" s="19"/>
      <c r="K185" s="13"/>
    </row>
    <row r="186" spans="1:13" s="12" customFormat="1" ht="14.25" x14ac:dyDescent="0.2">
      <c r="A186" s="27"/>
      <c r="B186" s="14" t="s">
        <v>108</v>
      </c>
      <c r="C186" s="14"/>
      <c r="D186" s="14"/>
      <c r="E186" s="14"/>
      <c r="F186" s="10">
        <f>F187+F188+F191+F192+F189+F190</f>
        <v>3615724.6999999997</v>
      </c>
      <c r="G186" s="9">
        <f>F186/F$161*100</f>
        <v>7.0360075502233821</v>
      </c>
      <c r="H186" s="10">
        <v>3292568.3</v>
      </c>
      <c r="I186" s="9">
        <f>H186/H$161*100</f>
        <v>5.9176753387864496</v>
      </c>
      <c r="J186" s="19"/>
      <c r="K186" s="13"/>
    </row>
    <row r="187" spans="1:13" s="14" customFormat="1" x14ac:dyDescent="0.25">
      <c r="A187" s="7"/>
      <c r="C187" s="12" t="s">
        <v>109</v>
      </c>
      <c r="D187" s="12"/>
      <c r="E187" s="12"/>
      <c r="F187" s="24">
        <f>[1]Plan4!M182</f>
        <v>1481596.56</v>
      </c>
      <c r="G187" s="9"/>
      <c r="H187" s="24">
        <v>1234791.6200000001</v>
      </c>
      <c r="I187" s="9"/>
      <c r="J187" s="64"/>
      <c r="K187" s="9"/>
    </row>
    <row r="188" spans="1:13" s="14" customFormat="1" x14ac:dyDescent="0.25">
      <c r="A188" s="7"/>
      <c r="C188" s="12" t="s">
        <v>110</v>
      </c>
      <c r="D188" s="12"/>
      <c r="E188" s="12"/>
      <c r="F188" s="24">
        <f>[1]Plan4!M183</f>
        <v>16513.810000000001</v>
      </c>
      <c r="G188" s="13"/>
      <c r="H188" s="24">
        <v>9117.9599999999991</v>
      </c>
      <c r="I188" s="13"/>
      <c r="J188" s="64"/>
      <c r="K188" s="9"/>
    </row>
    <row r="189" spans="1:13" s="14" customFormat="1" x14ac:dyDescent="0.25">
      <c r="A189" s="7"/>
      <c r="C189" s="12" t="s">
        <v>111</v>
      </c>
      <c r="D189" s="12"/>
      <c r="E189" s="12"/>
      <c r="F189" s="24">
        <v>1110535.46</v>
      </c>
      <c r="G189" s="13"/>
      <c r="H189" s="24">
        <v>1470402.38</v>
      </c>
      <c r="I189" s="13"/>
      <c r="J189" s="64"/>
      <c r="K189" s="9"/>
      <c r="M189" s="29"/>
    </row>
    <row r="190" spans="1:13" s="14" customFormat="1" x14ac:dyDescent="0.25">
      <c r="A190" s="7"/>
      <c r="C190" s="12" t="s">
        <v>112</v>
      </c>
      <c r="D190" s="12"/>
      <c r="E190" s="12"/>
      <c r="F190" s="24">
        <v>470457.98</v>
      </c>
      <c r="G190" s="13"/>
      <c r="H190" s="24">
        <v>345356.03</v>
      </c>
      <c r="I190" s="13"/>
      <c r="J190" s="64"/>
      <c r="K190" s="9"/>
    </row>
    <row r="191" spans="1:13" s="12" customFormat="1" ht="14.25" x14ac:dyDescent="0.2">
      <c r="A191" s="27"/>
      <c r="C191" s="12" t="s">
        <v>113</v>
      </c>
      <c r="F191" s="24">
        <v>519094.75</v>
      </c>
      <c r="G191" s="13"/>
      <c r="H191" s="24">
        <v>216935.29</v>
      </c>
      <c r="I191" s="13"/>
      <c r="J191" s="19"/>
      <c r="K191" s="13"/>
    </row>
    <row r="192" spans="1:13" s="12" customFormat="1" ht="14.25" x14ac:dyDescent="0.2">
      <c r="A192" s="27"/>
      <c r="C192" s="12" t="s">
        <v>114</v>
      </c>
      <c r="F192" s="24">
        <f>[1]Plan4!M185</f>
        <v>17526.14</v>
      </c>
      <c r="G192" s="13"/>
      <c r="H192" s="24">
        <v>15965.02</v>
      </c>
      <c r="I192" s="13"/>
      <c r="J192" s="19"/>
      <c r="K192" s="13"/>
    </row>
    <row r="193" spans="1:14" s="7" customFormat="1" x14ac:dyDescent="0.25">
      <c r="A193" s="7" t="s">
        <v>115</v>
      </c>
      <c r="F193" s="31">
        <f>F175-F176</f>
        <v>-10010118.130000003</v>
      </c>
      <c r="G193" s="9">
        <f>F193/F$161*100</f>
        <v>-19.479156347635644</v>
      </c>
      <c r="H193" s="31">
        <v>-3602964.0299999863</v>
      </c>
      <c r="I193" s="9">
        <f>H193/H$161*100</f>
        <v>-6.4755441479727418</v>
      </c>
      <c r="J193" s="60"/>
      <c r="K193" s="25"/>
    </row>
    <row r="194" spans="1:14" s="7" customFormat="1" x14ac:dyDescent="0.25">
      <c r="A194" s="7" t="s">
        <v>116</v>
      </c>
      <c r="F194" s="31">
        <f>[2]Plan2!$F$21</f>
        <v>5697103.0419799993</v>
      </c>
      <c r="G194" s="9"/>
      <c r="H194" s="31">
        <v>5034867.0989399999</v>
      </c>
      <c r="I194" s="9"/>
      <c r="J194" s="60"/>
      <c r="K194" s="25"/>
    </row>
    <row r="195" spans="1:14" s="7" customFormat="1" x14ac:dyDescent="0.25">
      <c r="A195" s="7" t="s">
        <v>117</v>
      </c>
      <c r="F195" s="31">
        <f>-F194</f>
        <v>-5697103.0419799993</v>
      </c>
      <c r="G195" s="9"/>
      <c r="H195" s="31">
        <v>-5034867.0989399999</v>
      </c>
      <c r="I195" s="9"/>
      <c r="J195" s="60"/>
      <c r="K195" s="25"/>
    </row>
    <row r="196" spans="1:14" s="7" customFormat="1" x14ac:dyDescent="0.25">
      <c r="A196" s="7" t="s">
        <v>118</v>
      </c>
      <c r="F196" s="31">
        <f>SUM(F197:F204)</f>
        <v>9792787.1800000016</v>
      </c>
      <c r="G196" s="9">
        <f>F196/F$161*100</f>
        <v>19.056241902546052</v>
      </c>
      <c r="H196" s="31">
        <v>5843162.4199999999</v>
      </c>
      <c r="I196" s="9">
        <f>H196/H$161*100</f>
        <v>10.501813478966481</v>
      </c>
      <c r="J196" s="60"/>
      <c r="K196" s="25"/>
    </row>
    <row r="197" spans="1:14" s="12" customFormat="1" ht="14.25" x14ac:dyDescent="0.2">
      <c r="A197" s="27"/>
      <c r="B197" s="12" t="s">
        <v>119</v>
      </c>
      <c r="F197" s="24">
        <f>[1]Plan4!M191</f>
        <v>52276</v>
      </c>
      <c r="G197" s="9"/>
      <c r="H197" s="24">
        <v>48706.3</v>
      </c>
      <c r="I197" s="9"/>
      <c r="J197" s="19"/>
      <c r="K197" s="13"/>
    </row>
    <row r="198" spans="1:14" s="12" customFormat="1" ht="14.25" x14ac:dyDescent="0.2">
      <c r="A198" s="27"/>
      <c r="B198" s="12" t="s">
        <v>189</v>
      </c>
      <c r="F198" s="24">
        <f>[1]Plan4!O171</f>
        <v>0</v>
      </c>
      <c r="G198" s="9"/>
      <c r="H198" s="24">
        <v>416913.11</v>
      </c>
      <c r="I198" s="9"/>
      <c r="J198" s="19"/>
      <c r="K198" s="13"/>
    </row>
    <row r="199" spans="1:14" s="12" customFormat="1" ht="14.25" x14ac:dyDescent="0.2">
      <c r="A199" s="27"/>
      <c r="B199" s="12" t="s">
        <v>120</v>
      </c>
      <c r="F199" s="24">
        <f>[1]Plan4!M192-'[1]balanço e dre '!F198</f>
        <v>377596.07</v>
      </c>
      <c r="G199" s="13"/>
      <c r="H199" s="24">
        <v>673087.4</v>
      </c>
      <c r="I199" s="13"/>
      <c r="J199" s="19"/>
      <c r="K199" s="13"/>
    </row>
    <row r="200" spans="1:14" s="12" customFormat="1" ht="14.25" x14ac:dyDescent="0.2">
      <c r="A200" s="27"/>
      <c r="B200" s="12" t="s">
        <v>121</v>
      </c>
      <c r="F200" s="24">
        <f>[1]Plan4!M193</f>
        <v>6874146.9400000004</v>
      </c>
      <c r="G200" s="13"/>
      <c r="H200" s="24">
        <v>2443081.13</v>
      </c>
      <c r="I200" s="13"/>
      <c r="J200" s="19"/>
      <c r="K200" s="13"/>
    </row>
    <row r="201" spans="1:14" s="12" customFormat="1" ht="14.25" x14ac:dyDescent="0.2">
      <c r="A201" s="27"/>
      <c r="B201" s="51" t="s">
        <v>122</v>
      </c>
      <c r="C201" s="51"/>
      <c r="D201" s="51"/>
      <c r="F201" s="24">
        <v>1589190.54</v>
      </c>
      <c r="G201" s="13"/>
      <c r="H201" s="24">
        <v>1138341.1299999999</v>
      </c>
      <c r="I201" s="13"/>
      <c r="J201" s="19"/>
      <c r="K201" s="13"/>
    </row>
    <row r="202" spans="1:14" s="12" customFormat="1" ht="14.25" hidden="1" x14ac:dyDescent="0.2">
      <c r="A202" s="27"/>
      <c r="B202" s="12" t="s">
        <v>123</v>
      </c>
      <c r="D202" s="22"/>
      <c r="F202" s="24">
        <v>0</v>
      </c>
      <c r="G202" s="13"/>
      <c r="H202" s="24">
        <v>0</v>
      </c>
      <c r="I202" s="13"/>
      <c r="J202" s="19"/>
      <c r="K202" s="13"/>
    </row>
    <row r="203" spans="1:14" s="12" customFormat="1" ht="14.25" x14ac:dyDescent="0.2">
      <c r="A203" s="27"/>
      <c r="B203" s="12" t="s">
        <v>124</v>
      </c>
      <c r="D203" s="22"/>
      <c r="F203" s="24">
        <v>453004.76</v>
      </c>
      <c r="G203" s="13"/>
      <c r="H203" s="24">
        <v>431116.85</v>
      </c>
      <c r="I203" s="13"/>
      <c r="J203" s="19"/>
      <c r="K203" s="13"/>
    </row>
    <row r="204" spans="1:14" s="12" customFormat="1" ht="14.25" x14ac:dyDescent="0.2">
      <c r="A204" s="27"/>
      <c r="B204" s="12" t="s">
        <v>125</v>
      </c>
      <c r="F204" s="24">
        <f>2538537.22-F201-F203+732.92+51.13+1722.9-6850-45426</f>
        <v>446572.87000000017</v>
      </c>
      <c r="G204" s="9"/>
      <c r="H204" s="24">
        <v>691916.5</v>
      </c>
      <c r="I204" s="9"/>
      <c r="J204" s="19"/>
      <c r="K204" s="13"/>
    </row>
    <row r="205" spans="1:14" s="7" customFormat="1" x14ac:dyDescent="0.25">
      <c r="A205" s="7" t="s">
        <v>126</v>
      </c>
      <c r="F205" s="31">
        <f>F206</f>
        <v>112655.63</v>
      </c>
      <c r="G205" s="13"/>
      <c r="H205" s="31">
        <v>0</v>
      </c>
      <c r="I205" s="13"/>
      <c r="J205" s="60"/>
      <c r="K205" s="25"/>
    </row>
    <row r="206" spans="1:14" s="12" customFormat="1" ht="14.25" x14ac:dyDescent="0.2">
      <c r="A206" s="27"/>
      <c r="B206" s="12" t="s">
        <v>190</v>
      </c>
      <c r="F206" s="24">
        <f>[1]Plan4!M197</f>
        <v>112655.63</v>
      </c>
      <c r="G206" s="13"/>
      <c r="H206" s="24">
        <v>0</v>
      </c>
      <c r="I206" s="13"/>
      <c r="J206" s="19"/>
      <c r="K206" s="13"/>
    </row>
    <row r="207" spans="1:14" s="27" customFormat="1" x14ac:dyDescent="0.25">
      <c r="A207" s="7" t="s">
        <v>127</v>
      </c>
      <c r="B207" s="7"/>
      <c r="C207" s="7"/>
      <c r="D207" s="7"/>
      <c r="E207" s="7"/>
      <c r="F207" s="31">
        <f>F208+F209</f>
        <v>3070142.36</v>
      </c>
      <c r="G207" s="9">
        <f>F207/F$161*100</f>
        <v>5.9743333957977036</v>
      </c>
      <c r="H207" s="31">
        <v>2238953.88</v>
      </c>
      <c r="I207" s="9">
        <f>H207/H$161*100</f>
        <v>4.0240325949673501</v>
      </c>
      <c r="J207" s="63"/>
      <c r="K207" s="26"/>
    </row>
    <row r="208" spans="1:14" s="12" customFormat="1" ht="14.25" x14ac:dyDescent="0.2">
      <c r="A208" s="27"/>
      <c r="B208" s="12" t="s">
        <v>191</v>
      </c>
      <c r="F208" s="13">
        <f>3070142.36-379353.16</f>
        <v>2690789.1999999997</v>
      </c>
      <c r="G208" s="24"/>
      <c r="H208" s="13">
        <v>1922523.07</v>
      </c>
      <c r="I208" s="24"/>
      <c r="J208" s="19"/>
      <c r="K208" s="13"/>
      <c r="N208" s="62"/>
    </row>
    <row r="209" spans="1:14" s="12" customFormat="1" ht="14.25" x14ac:dyDescent="0.2">
      <c r="A209" s="27"/>
      <c r="B209" s="12" t="s">
        <v>192</v>
      </c>
      <c r="F209" s="13">
        <f>311200.07+68153.09</f>
        <v>379353.16000000003</v>
      </c>
      <c r="G209" s="24"/>
      <c r="H209" s="13">
        <v>316430.81</v>
      </c>
      <c r="I209" s="24"/>
      <c r="J209" s="19"/>
      <c r="K209" s="13"/>
      <c r="N209" s="62"/>
    </row>
    <row r="210" spans="1:14" s="27" customFormat="1" x14ac:dyDescent="0.25">
      <c r="A210" s="7" t="s">
        <v>128</v>
      </c>
      <c r="B210" s="7"/>
      <c r="C210" s="7"/>
      <c r="D210" s="7"/>
      <c r="E210" s="7"/>
      <c r="F210" s="25">
        <f>F211</f>
        <v>342546.86</v>
      </c>
      <c r="G210" s="9">
        <f>F210/F$161*100</f>
        <v>0.66657793201603865</v>
      </c>
      <c r="H210" s="25">
        <v>61084.1</v>
      </c>
      <c r="I210" s="9">
        <f>H210/H$161*100</f>
        <v>0.1097853830889295</v>
      </c>
      <c r="J210" s="63"/>
      <c r="K210" s="26"/>
    </row>
    <row r="211" spans="1:14" s="58" customFormat="1" ht="15.75" x14ac:dyDescent="0.25">
      <c r="A211" s="7"/>
      <c r="B211" s="12" t="s">
        <v>129</v>
      </c>
      <c r="C211" s="12"/>
      <c r="D211" s="12"/>
      <c r="E211" s="12"/>
      <c r="F211" s="13">
        <f>[1]Plan4!M201</f>
        <v>342546.86</v>
      </c>
      <c r="G211" s="24"/>
      <c r="H211" s="13">
        <v>61084.1</v>
      </c>
      <c r="I211" s="24"/>
      <c r="J211" s="56"/>
      <c r="K211" s="57"/>
    </row>
    <row r="212" spans="1:14" s="27" customFormat="1" x14ac:dyDescent="0.25">
      <c r="A212" s="7" t="s">
        <v>130</v>
      </c>
      <c r="B212" s="7"/>
      <c r="C212" s="7"/>
      <c r="D212" s="7"/>
      <c r="E212" s="7"/>
      <c r="F212" s="25">
        <f>(F193-F207)+F196+F210-F205</f>
        <v>-3057582.0800000005</v>
      </c>
      <c r="G212" s="9">
        <f>F212/F$161*100</f>
        <v>-5.9498917603731609</v>
      </c>
      <c r="H212" s="25">
        <v>62328.610000013745</v>
      </c>
      <c r="I212" s="9">
        <f>H212/H$161*100</f>
        <v>0.11202211911531793</v>
      </c>
      <c r="J212" s="63"/>
      <c r="K212" s="26"/>
    </row>
    <row r="213" spans="1:14" s="12" customFormat="1" x14ac:dyDescent="0.25">
      <c r="A213" s="27"/>
      <c r="B213" s="13"/>
      <c r="E213" s="2"/>
      <c r="F213" s="25"/>
      <c r="G213" s="18"/>
      <c r="H213" s="25"/>
      <c r="I213" s="18"/>
      <c r="J213" s="19"/>
      <c r="K213" s="13"/>
    </row>
    <row r="214" spans="1:14" s="12" customFormat="1" x14ac:dyDescent="0.25">
      <c r="A214" s="27"/>
      <c r="B214" s="13"/>
      <c r="E214" s="2"/>
      <c r="F214" s="25"/>
      <c r="G214" s="18"/>
      <c r="H214" s="25"/>
      <c r="I214" s="18"/>
      <c r="J214" s="19"/>
      <c r="K214" s="13"/>
    </row>
    <row r="215" spans="1:14" s="12" customFormat="1" ht="12.75" x14ac:dyDescent="0.2">
      <c r="B215" s="13"/>
      <c r="E215" s="2"/>
      <c r="F215" s="28"/>
      <c r="G215" s="18"/>
      <c r="H215" s="28"/>
      <c r="I215" s="18"/>
      <c r="J215" s="19"/>
      <c r="K215" s="13"/>
    </row>
    <row r="216" spans="1:14" s="12" customFormat="1" ht="12.75" x14ac:dyDescent="0.2">
      <c r="A216" s="52" t="str">
        <f>A104</f>
        <v>Carazinho, 31 de dezembro de 2.022</v>
      </c>
      <c r="B216" s="52"/>
      <c r="C216" s="52"/>
      <c r="D216" s="52"/>
      <c r="E216" s="52"/>
      <c r="F216" s="52"/>
      <c r="G216" s="52"/>
      <c r="H216" s="52"/>
      <c r="I216" s="52"/>
      <c r="J216" s="19"/>
      <c r="K216" s="13"/>
    </row>
    <row r="217" spans="1:14" s="12" customFormat="1" ht="12.75" x14ac:dyDescent="0.2">
      <c r="J217" s="19"/>
      <c r="K217" s="13"/>
    </row>
    <row r="218" spans="1:14" s="12" customFormat="1" ht="12.75" x14ac:dyDescent="0.2">
      <c r="B218" s="13"/>
      <c r="E218" s="2"/>
      <c r="F218" s="14"/>
      <c r="H218" s="14"/>
      <c r="J218" s="19"/>
      <c r="K218" s="13"/>
    </row>
    <row r="219" spans="1:14" s="12" customFormat="1" ht="12.75" x14ac:dyDescent="0.2">
      <c r="B219" s="13"/>
      <c r="C219" s="2" t="s">
        <v>186</v>
      </c>
      <c r="E219" s="2"/>
      <c r="F219" s="22"/>
      <c r="G219" s="52" t="s">
        <v>58</v>
      </c>
      <c r="H219" s="52"/>
      <c r="I219" s="6"/>
      <c r="J219" s="19"/>
      <c r="K219" s="13"/>
    </row>
    <row r="220" spans="1:14" s="12" customFormat="1" ht="12.75" x14ac:dyDescent="0.2">
      <c r="B220" s="13"/>
      <c r="C220" s="2" t="s">
        <v>187</v>
      </c>
      <c r="E220" s="2"/>
      <c r="F220" s="23"/>
      <c r="G220" s="52" t="s">
        <v>59</v>
      </c>
      <c r="H220" s="52"/>
      <c r="I220" s="6"/>
      <c r="J220" s="19"/>
      <c r="K220" s="13"/>
    </row>
    <row r="221" spans="1:14" s="12" customFormat="1" ht="12.75" x14ac:dyDescent="0.2">
      <c r="B221" s="13"/>
      <c r="C221" s="24" t="s">
        <v>188</v>
      </c>
      <c r="E221" s="2"/>
      <c r="F221" s="23"/>
      <c r="G221" s="52" t="s">
        <v>60</v>
      </c>
      <c r="H221" s="52"/>
      <c r="I221" s="6"/>
      <c r="J221" s="19"/>
      <c r="K221" s="13"/>
    </row>
  </sheetData>
  <mergeCells count="24">
    <mergeCell ref="G71:H71"/>
    <mergeCell ref="G72:H72"/>
    <mergeCell ref="G73:H73"/>
    <mergeCell ref="A74:I74"/>
    <mergeCell ref="A1:I1"/>
    <mergeCell ref="A2:I2"/>
    <mergeCell ref="A4:I4"/>
    <mergeCell ref="A6:E6"/>
    <mergeCell ref="A66:I66"/>
    <mergeCell ref="A75:I75"/>
    <mergeCell ref="A77:I77"/>
    <mergeCell ref="A79:E79"/>
    <mergeCell ref="A104:I104"/>
    <mergeCell ref="G107:H107"/>
    <mergeCell ref="G108:H108"/>
    <mergeCell ref="G109:H109"/>
    <mergeCell ref="A154:I154"/>
    <mergeCell ref="A155:I155"/>
    <mergeCell ref="A157:I157"/>
    <mergeCell ref="B201:D201"/>
    <mergeCell ref="A216:I216"/>
    <mergeCell ref="G219:H219"/>
    <mergeCell ref="G220:H220"/>
    <mergeCell ref="G221:H22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N51"/>
  <sheetViews>
    <sheetView workbookViewId="0">
      <selection sqref="A1:XFD51"/>
    </sheetView>
  </sheetViews>
  <sheetFormatPr defaultRowHeight="15" x14ac:dyDescent="0.25"/>
  <cols>
    <col min="6" max="7" width="15.7109375" bestFit="1" customWidth="1"/>
    <col min="8" max="8" width="22.5703125" bestFit="1" customWidth="1"/>
  </cols>
  <sheetData>
    <row r="1" spans="1:12" s="58" customFormat="1" ht="18" x14ac:dyDescent="0.25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spans="1:12" s="58" customFormat="1" ht="15.75" x14ac:dyDescent="0.25">
      <c r="A2" s="54" t="s">
        <v>1</v>
      </c>
      <c r="B2" s="54"/>
      <c r="C2" s="54"/>
      <c r="D2" s="54"/>
      <c r="E2" s="54"/>
      <c r="F2" s="54"/>
      <c r="G2" s="54"/>
      <c r="H2" s="54"/>
      <c r="I2" s="54"/>
    </row>
    <row r="3" spans="1:12" s="58" customFormat="1" ht="15.75" x14ac:dyDescent="0.25">
      <c r="A3" s="1"/>
      <c r="B3" s="1"/>
      <c r="C3" s="1"/>
      <c r="D3" s="1"/>
      <c r="E3" s="1"/>
      <c r="F3" s="1"/>
      <c r="G3" s="1"/>
      <c r="H3" s="1"/>
      <c r="I3" s="1"/>
    </row>
    <row r="4" spans="1:12" s="58" customFormat="1" ht="15.75" x14ac:dyDescent="0.25">
      <c r="A4" s="50" t="s">
        <v>131</v>
      </c>
      <c r="B4" s="50"/>
      <c r="C4" s="50"/>
      <c r="D4" s="50"/>
      <c r="E4" s="50"/>
      <c r="F4" s="50"/>
      <c r="G4" s="50"/>
      <c r="H4" s="50"/>
      <c r="I4" s="50"/>
    </row>
    <row r="5" spans="1:12" s="12" customFormat="1" ht="15.75" x14ac:dyDescent="0.25">
      <c r="A5" s="50" t="s">
        <v>132</v>
      </c>
      <c r="B5" s="50"/>
      <c r="C5" s="50"/>
      <c r="D5" s="50"/>
      <c r="E5" s="50"/>
      <c r="F5" s="50"/>
      <c r="G5" s="50"/>
      <c r="H5" s="50"/>
      <c r="I5" s="50"/>
    </row>
    <row r="6" spans="1:12" s="12" customFormat="1" x14ac:dyDescent="0.25">
      <c r="A6" s="7"/>
      <c r="B6" s="14"/>
      <c r="C6" s="14"/>
      <c r="D6" s="14"/>
      <c r="E6" s="14"/>
      <c r="F6" s="14"/>
      <c r="G6" s="14"/>
      <c r="H6" s="14"/>
    </row>
    <row r="7" spans="1:12" s="7" customFormat="1" x14ac:dyDescent="0.25">
      <c r="B7" s="14"/>
      <c r="C7" s="14"/>
      <c r="D7" s="14"/>
      <c r="E7" s="14"/>
      <c r="F7" s="14"/>
      <c r="G7" s="14"/>
      <c r="H7" s="14"/>
      <c r="I7" s="12"/>
    </row>
    <row r="8" spans="1:12" s="7" customFormat="1" x14ac:dyDescent="0.25">
      <c r="A8" s="7" t="s">
        <v>133</v>
      </c>
      <c r="E8" s="7" t="s">
        <v>63</v>
      </c>
      <c r="G8" s="4">
        <v>2022</v>
      </c>
      <c r="H8" s="4">
        <v>2021</v>
      </c>
    </row>
    <row r="9" spans="1:12" s="27" customFormat="1" x14ac:dyDescent="0.25">
      <c r="A9" s="7"/>
      <c r="B9" s="7" t="s">
        <v>134</v>
      </c>
      <c r="C9" s="7"/>
      <c r="D9" s="7"/>
      <c r="E9" s="7"/>
      <c r="F9" s="7"/>
      <c r="G9" s="25"/>
      <c r="H9" s="25"/>
      <c r="I9" s="7"/>
    </row>
    <row r="10" spans="1:12" s="27" customFormat="1" ht="14.25" x14ac:dyDescent="0.2">
      <c r="C10" s="27" t="s">
        <v>135</v>
      </c>
      <c r="G10" s="32">
        <f>'[1]balanço e dre '!F212</f>
        <v>-3057582.0800000005</v>
      </c>
      <c r="H10" s="32">
        <v>62328.610000013745</v>
      </c>
    </row>
    <row r="11" spans="1:12" s="27" customFormat="1" ht="14.25" x14ac:dyDescent="0.2">
      <c r="C11" s="27" t="s">
        <v>136</v>
      </c>
      <c r="G11" s="26">
        <f>'[1]demost.de mutações do PL.'!D10</f>
        <v>-718019.7</v>
      </c>
      <c r="H11" s="32">
        <v>233621.88</v>
      </c>
    </row>
    <row r="12" spans="1:12" s="27" customFormat="1" x14ac:dyDescent="0.25">
      <c r="A12" s="7"/>
      <c r="B12" s="7" t="s">
        <v>137</v>
      </c>
      <c r="C12" s="7"/>
      <c r="D12" s="7"/>
      <c r="E12" s="7"/>
      <c r="F12" s="7"/>
    </row>
    <row r="13" spans="1:12" s="7" customFormat="1" x14ac:dyDescent="0.25">
      <c r="A13" s="27"/>
      <c r="B13" s="27"/>
      <c r="C13" s="27" t="s">
        <v>138</v>
      </c>
      <c r="D13" s="27"/>
      <c r="E13" s="27"/>
      <c r="F13" s="27"/>
      <c r="G13" s="26">
        <f>-'[1]balanço e dre '!F61+'[1]balanço e dre '!H61</f>
        <v>1481596.5599999996</v>
      </c>
      <c r="H13" s="26">
        <v>1234791.6200000001</v>
      </c>
      <c r="I13" s="27"/>
    </row>
    <row r="14" spans="1:12" s="27" customFormat="1" x14ac:dyDescent="0.25">
      <c r="A14" s="7"/>
      <c r="B14" s="7" t="s">
        <v>139</v>
      </c>
      <c r="C14" s="7"/>
      <c r="D14" s="7"/>
      <c r="E14" s="7"/>
      <c r="F14" s="7"/>
      <c r="G14" s="25"/>
      <c r="H14" s="25"/>
      <c r="I14" s="7"/>
    </row>
    <row r="15" spans="1:12" s="69" customFormat="1" ht="14.25" x14ac:dyDescent="0.2">
      <c r="C15" s="27" t="s">
        <v>140</v>
      </c>
      <c r="D15" s="27"/>
      <c r="E15" s="27"/>
      <c r="F15" s="27"/>
      <c r="G15" s="26">
        <f>'[1]balanço e dre '!F93-'[1]balanço e dre '!H93</f>
        <v>13152922.139999999</v>
      </c>
      <c r="H15" s="26">
        <v>39407.970000000671</v>
      </c>
      <c r="J15" s="70"/>
    </row>
    <row r="16" spans="1:12" s="69" customFormat="1" ht="14.25" x14ac:dyDescent="0.2">
      <c r="C16" s="27" t="s">
        <v>141</v>
      </c>
      <c r="D16" s="27"/>
      <c r="E16" s="27"/>
      <c r="F16" s="27"/>
      <c r="G16" s="26">
        <f>'[1]balanço e dre '!H34-'[1]balanço e dre '!F34</f>
        <v>131029.55999999982</v>
      </c>
      <c r="H16" s="26">
        <v>172345.31</v>
      </c>
      <c r="L16" s="71"/>
    </row>
    <row r="17" spans="1:14" s="27" customFormat="1" ht="14.25" x14ac:dyDescent="0.2">
      <c r="C17" s="27" t="s">
        <v>142</v>
      </c>
      <c r="G17" s="26">
        <v>0</v>
      </c>
      <c r="H17" s="26">
        <v>0</v>
      </c>
      <c r="J17" s="72"/>
      <c r="L17" s="26"/>
    </row>
    <row r="18" spans="1:14" s="7" customFormat="1" x14ac:dyDescent="0.25">
      <c r="G18" s="27"/>
      <c r="H18" s="27"/>
      <c r="I18" s="27"/>
      <c r="K18" s="25"/>
      <c r="L18" s="26"/>
    </row>
    <row r="19" spans="1:14" s="27" customFormat="1" x14ac:dyDescent="0.25">
      <c r="A19" s="7" t="s">
        <v>143</v>
      </c>
      <c r="B19" s="7"/>
      <c r="C19" s="7"/>
      <c r="D19" s="7"/>
      <c r="E19" s="7"/>
      <c r="F19" s="7"/>
      <c r="G19" s="25">
        <f>SUM(G10:G18)</f>
        <v>10989946.479999999</v>
      </c>
      <c r="H19" s="25">
        <f>SUM(H10:H18)</f>
        <v>1742495.3900000146</v>
      </c>
      <c r="I19" s="7"/>
    </row>
    <row r="20" spans="1:14" s="7" customFormat="1" x14ac:dyDescent="0.25">
      <c r="G20" s="27"/>
      <c r="H20" s="27"/>
      <c r="I20" s="27"/>
    </row>
    <row r="21" spans="1:14" s="7" customFormat="1" x14ac:dyDescent="0.25">
      <c r="A21" s="7" t="s">
        <v>144</v>
      </c>
    </row>
    <row r="22" spans="1:14" s="27" customFormat="1" x14ac:dyDescent="0.25">
      <c r="A22" s="7"/>
      <c r="B22" s="7"/>
      <c r="C22" s="27" t="s">
        <v>145</v>
      </c>
      <c r="D22" s="7"/>
      <c r="E22" s="7"/>
      <c r="F22" s="7"/>
      <c r="G22" s="26">
        <v>0</v>
      </c>
      <c r="H22" s="26">
        <v>0</v>
      </c>
      <c r="I22" s="7"/>
    </row>
    <row r="23" spans="1:14" s="69" customFormat="1" ht="14.25" x14ac:dyDescent="0.2">
      <c r="C23" s="27" t="s">
        <v>36</v>
      </c>
      <c r="D23" s="27"/>
      <c r="E23" s="27"/>
      <c r="F23" s="27"/>
      <c r="G23" s="32">
        <f>'[1]balanço e dre '!F38-'[1]balanço e dre '!H38</f>
        <v>0</v>
      </c>
      <c r="H23" s="32">
        <v>0</v>
      </c>
      <c r="J23" s="70"/>
    </row>
    <row r="24" spans="1:14" s="69" customFormat="1" ht="14.25" x14ac:dyDescent="0.2">
      <c r="C24" s="27" t="s">
        <v>146</v>
      </c>
      <c r="D24" s="27"/>
      <c r="E24" s="27"/>
      <c r="F24" s="27"/>
      <c r="G24" s="32">
        <f>'[1]balanço e dre '!F41+'[1]balanço e dre '!F57-'[1]balanço e dre '!H41-'[1]balanço e dre '!H57</f>
        <v>5184249.9200000037</v>
      </c>
      <c r="H24" s="32">
        <v>3075033.65</v>
      </c>
      <c r="J24" s="70"/>
    </row>
    <row r="25" spans="1:14" s="27" customFormat="1" ht="14.25" x14ac:dyDescent="0.2">
      <c r="C25" s="27" t="s">
        <v>147</v>
      </c>
      <c r="G25" s="32">
        <v>0</v>
      </c>
      <c r="H25" s="32">
        <v>0</v>
      </c>
      <c r="K25" s="72"/>
      <c r="L25" s="72"/>
    </row>
    <row r="26" spans="1:14" s="27" customFormat="1" ht="14.25" x14ac:dyDescent="0.2">
      <c r="G26" s="32"/>
      <c r="H26" s="32"/>
      <c r="J26" s="32"/>
      <c r="K26" s="32"/>
    </row>
    <row r="27" spans="1:14" s="7" customFormat="1" x14ac:dyDescent="0.25">
      <c r="G27" s="27"/>
      <c r="H27" s="27"/>
      <c r="I27" s="27"/>
      <c r="J27" s="61"/>
    </row>
    <row r="28" spans="1:14" s="7" customFormat="1" x14ac:dyDescent="0.25">
      <c r="A28" s="7" t="s">
        <v>148</v>
      </c>
      <c r="G28" s="25">
        <f>SUM(G22:G26)</f>
        <v>5184249.9200000037</v>
      </c>
      <c r="H28" s="25">
        <f>SUM(H22:H26)</f>
        <v>3075033.65</v>
      </c>
    </row>
    <row r="29" spans="1:14" s="27" customFormat="1" x14ac:dyDescent="0.25">
      <c r="A29" s="7" t="s">
        <v>149</v>
      </c>
      <c r="B29" s="7"/>
      <c r="C29" s="7"/>
      <c r="D29" s="7"/>
      <c r="E29" s="7"/>
      <c r="F29" s="7"/>
      <c r="G29" s="25">
        <f>G19-G28</f>
        <v>5805696.5599999949</v>
      </c>
      <c r="H29" s="25">
        <f>H19-H28</f>
        <v>-1332538.2599999853</v>
      </c>
      <c r="I29" s="7"/>
      <c r="J29" s="72"/>
      <c r="N29" s="72"/>
    </row>
    <row r="30" spans="1:14" s="27" customFormat="1" x14ac:dyDescent="0.25">
      <c r="A30" s="7"/>
      <c r="B30" s="7"/>
      <c r="C30" s="7"/>
      <c r="D30" s="7"/>
      <c r="E30" s="7"/>
      <c r="F30" s="7"/>
      <c r="G30" s="25"/>
      <c r="H30" s="25"/>
      <c r="J30" s="32"/>
      <c r="K30" s="72"/>
    </row>
    <row r="31" spans="1:14" s="7" customFormat="1" x14ac:dyDescent="0.25">
      <c r="A31" s="27"/>
      <c r="B31" s="27"/>
      <c r="C31" s="27"/>
      <c r="D31" s="27"/>
      <c r="E31" s="27"/>
      <c r="F31" s="27"/>
      <c r="G31" s="26"/>
      <c r="H31" s="26"/>
      <c r="I31" s="32"/>
    </row>
    <row r="32" spans="1:14" s="7" customFormat="1" x14ac:dyDescent="0.25">
      <c r="A32" s="55" t="s">
        <v>150</v>
      </c>
      <c r="B32" s="55"/>
      <c r="C32" s="55"/>
      <c r="D32" s="55"/>
      <c r="E32" s="55"/>
      <c r="F32" s="55"/>
      <c r="G32" s="55"/>
      <c r="H32" s="55"/>
      <c r="I32" s="55"/>
      <c r="J32" s="20"/>
    </row>
    <row r="33" spans="1:12" s="27" customFormat="1" x14ac:dyDescent="0.25">
      <c r="A33" s="7"/>
      <c r="B33" s="7"/>
      <c r="C33" s="7"/>
      <c r="D33" s="7"/>
      <c r="E33" s="7"/>
      <c r="F33" s="7"/>
      <c r="G33" s="25"/>
      <c r="H33" s="25"/>
      <c r="I33" s="7"/>
      <c r="K33" s="32"/>
    </row>
    <row r="34" spans="1:12" s="27" customFormat="1" x14ac:dyDescent="0.25">
      <c r="E34" s="4"/>
      <c r="F34" s="4">
        <v>2022</v>
      </c>
      <c r="G34" s="4">
        <v>2021</v>
      </c>
      <c r="H34" s="31" t="s">
        <v>151</v>
      </c>
      <c r="I34" s="32"/>
      <c r="J34" s="72"/>
      <c r="K34" s="32"/>
    </row>
    <row r="35" spans="1:12" s="27" customFormat="1" ht="14.25" x14ac:dyDescent="0.2">
      <c r="C35" s="27" t="s">
        <v>152</v>
      </c>
      <c r="E35" s="26"/>
      <c r="F35" s="26">
        <f>'[1]balanço e dre '!F7</f>
        <v>15149030.910000002</v>
      </c>
      <c r="G35" s="26">
        <v>10054571.65</v>
      </c>
      <c r="H35" s="26">
        <f>F35-G35</f>
        <v>5094459.2600000016</v>
      </c>
      <c r="I35" s="32"/>
      <c r="K35" s="32"/>
    </row>
    <row r="36" spans="1:12" s="7" customFormat="1" x14ac:dyDescent="0.25">
      <c r="A36" s="27"/>
      <c r="B36" s="27"/>
      <c r="C36" s="27" t="s">
        <v>153</v>
      </c>
      <c r="D36" s="27"/>
      <c r="E36" s="26"/>
      <c r="F36" s="26">
        <f>'[1]balanço e dre '!F80</f>
        <v>17159923.060000002</v>
      </c>
      <c r="G36" s="26">
        <v>17871160.359999999</v>
      </c>
      <c r="H36" s="26">
        <f>F36-G36</f>
        <v>-711237.29999999702</v>
      </c>
      <c r="I36" s="27"/>
      <c r="J36" s="20"/>
      <c r="L36" s="61"/>
    </row>
    <row r="37" spans="1:12" s="7" customFormat="1" x14ac:dyDescent="0.25">
      <c r="C37" s="7" t="s">
        <v>154</v>
      </c>
      <c r="E37" s="25"/>
      <c r="F37" s="25">
        <f>F35-F36</f>
        <v>-2010892.1500000004</v>
      </c>
      <c r="G37" s="25">
        <v>-7816588.709999999</v>
      </c>
      <c r="H37" s="25">
        <f>F37-G37</f>
        <v>5805696.5599999987</v>
      </c>
      <c r="I37" s="20"/>
      <c r="J37" s="61"/>
    </row>
    <row r="38" spans="1:12" s="27" customFormat="1" x14ac:dyDescent="0.25">
      <c r="A38" s="7"/>
      <c r="B38" s="7"/>
      <c r="C38" s="7"/>
      <c r="D38" s="7"/>
      <c r="E38" s="25"/>
      <c r="F38" s="25"/>
      <c r="G38" s="25"/>
      <c r="H38" s="25"/>
      <c r="I38" s="7"/>
    </row>
    <row r="39" spans="1:12" s="27" customFormat="1" x14ac:dyDescent="0.25">
      <c r="E39" s="4"/>
      <c r="F39" s="4">
        <v>2021</v>
      </c>
      <c r="G39" s="4">
        <v>2020</v>
      </c>
      <c r="H39" s="31" t="s">
        <v>151</v>
      </c>
      <c r="J39" s="72"/>
    </row>
    <row r="40" spans="1:12" s="27" customFormat="1" ht="14.25" x14ac:dyDescent="0.2">
      <c r="C40" s="27" t="s">
        <v>152</v>
      </c>
      <c r="E40" s="26"/>
      <c r="F40" s="26">
        <v>10054571.65</v>
      </c>
      <c r="G40" s="26">
        <v>10585612.01</v>
      </c>
      <c r="H40" s="26">
        <f>F40-G40</f>
        <v>-531040.3599999994</v>
      </c>
    </row>
    <row r="41" spans="1:12" s="7" customFormat="1" x14ac:dyDescent="0.25">
      <c r="A41" s="27"/>
      <c r="B41" s="27"/>
      <c r="C41" s="27" t="s">
        <v>153</v>
      </c>
      <c r="D41" s="27"/>
      <c r="E41" s="26"/>
      <c r="F41" s="26">
        <v>17871160.359999999</v>
      </c>
      <c r="G41" s="26">
        <v>17069662.460000001</v>
      </c>
      <c r="H41" s="26">
        <f>F41-G41</f>
        <v>801497.89999999851</v>
      </c>
      <c r="I41" s="27"/>
    </row>
    <row r="42" spans="1:12" s="12" customFormat="1" x14ac:dyDescent="0.25">
      <c r="A42" s="7"/>
      <c r="B42" s="7"/>
      <c r="C42" s="7" t="s">
        <v>154</v>
      </c>
      <c r="D42" s="7"/>
      <c r="E42" s="25"/>
      <c r="F42" s="25">
        <v>-7816588.709999999</v>
      </c>
      <c r="G42" s="25">
        <v>-6484050.4500000011</v>
      </c>
      <c r="H42" s="25">
        <f>F42-G42</f>
        <v>-1332538.2599999979</v>
      </c>
      <c r="I42" s="7"/>
      <c r="J42" s="62"/>
    </row>
    <row r="43" spans="1:12" s="12" customFormat="1" ht="14.25" x14ac:dyDescent="0.2">
      <c r="A43" s="27"/>
      <c r="G43" s="13"/>
      <c r="H43" s="13"/>
    </row>
    <row r="44" spans="1:12" s="12" customFormat="1" ht="14.25" x14ac:dyDescent="0.2">
      <c r="A44" s="27"/>
      <c r="G44" s="13"/>
      <c r="H44" s="13"/>
    </row>
    <row r="45" spans="1:12" s="12" customFormat="1" ht="14.25" x14ac:dyDescent="0.2">
      <c r="A45" s="27"/>
      <c r="G45" s="13"/>
      <c r="H45" s="13"/>
    </row>
    <row r="46" spans="1:12" s="12" customFormat="1" ht="12.75" x14ac:dyDescent="0.2">
      <c r="A46" s="52" t="str">
        <f>'[1]balanço e dre '!A66:I66</f>
        <v>Carazinho, 31 de dezembro de 2.022</v>
      </c>
      <c r="B46" s="52"/>
      <c r="C46" s="52"/>
      <c r="D46" s="52"/>
      <c r="E46" s="52"/>
      <c r="F46" s="52"/>
      <c r="G46" s="52"/>
      <c r="H46" s="52"/>
      <c r="I46" s="52"/>
    </row>
    <row r="47" spans="1:12" s="12" customFormat="1" ht="14.25" x14ac:dyDescent="0.2">
      <c r="A47" s="27"/>
    </row>
    <row r="48" spans="1:12" s="12" customFormat="1" ht="14.25" x14ac:dyDescent="0.2">
      <c r="A48" s="27"/>
    </row>
    <row r="49" spans="1:8" s="12" customFormat="1" ht="14.25" x14ac:dyDescent="0.2">
      <c r="A49" s="27"/>
      <c r="B49" s="2"/>
      <c r="C49" s="2" t="s">
        <v>186</v>
      </c>
      <c r="H49" s="2" t="s">
        <v>58</v>
      </c>
    </row>
    <row r="50" spans="1:8" s="12" customFormat="1" ht="14.25" x14ac:dyDescent="0.2">
      <c r="A50" s="27"/>
      <c r="B50" s="2"/>
      <c r="C50" s="2" t="s">
        <v>187</v>
      </c>
      <c r="H50" s="2" t="s">
        <v>59</v>
      </c>
    </row>
    <row r="51" spans="1:8" s="12" customFormat="1" ht="14.25" x14ac:dyDescent="0.2">
      <c r="A51" s="27"/>
      <c r="B51" s="24"/>
      <c r="C51" s="24" t="s">
        <v>188</v>
      </c>
      <c r="H51" s="2" t="s">
        <v>60</v>
      </c>
    </row>
  </sheetData>
  <mergeCells count="6">
    <mergeCell ref="A46:I46"/>
    <mergeCell ref="A1:I1"/>
    <mergeCell ref="A2:I2"/>
    <mergeCell ref="A4:I4"/>
    <mergeCell ref="A5:I5"/>
    <mergeCell ref="A32:I3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"/>
  <sheetViews>
    <sheetView workbookViewId="0">
      <selection activeCell="A90" sqref="A1:XFD90"/>
    </sheetView>
  </sheetViews>
  <sheetFormatPr defaultRowHeight="15" x14ac:dyDescent="0.25"/>
  <cols>
    <col min="1" max="1" width="38.5703125" bestFit="1" customWidth="1"/>
    <col min="2" max="2" width="12.42578125" bestFit="1" customWidth="1"/>
    <col min="3" max="3" width="29" bestFit="1" customWidth="1"/>
    <col min="4" max="8" width="12.42578125" bestFit="1" customWidth="1"/>
    <col min="9" max="9" width="22.5703125" bestFit="1" customWidth="1"/>
    <col min="10" max="10" width="12.42578125" bestFit="1" customWidth="1"/>
    <col min="11" max="11" width="13.140625" bestFit="1" customWidth="1"/>
    <col min="12" max="12" width="12.42578125" bestFit="1" customWidth="1"/>
    <col min="13" max="13" width="13.140625" bestFit="1" customWidth="1"/>
  </cols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J39"/>
  <sheetViews>
    <sheetView workbookViewId="0">
      <selection sqref="A1:XFD39"/>
    </sheetView>
  </sheetViews>
  <sheetFormatPr defaultRowHeight="15" x14ac:dyDescent="0.25"/>
  <cols>
    <col min="2" max="2" width="44.140625" bestFit="1" customWidth="1"/>
    <col min="4" max="4" width="15.7109375" bestFit="1" customWidth="1"/>
    <col min="6" max="6" width="15.7109375" bestFit="1" customWidth="1"/>
  </cols>
  <sheetData>
    <row r="1" spans="1:7" s="12" customFormat="1" ht="18" x14ac:dyDescent="0.25">
      <c r="A1" s="53" t="s">
        <v>0</v>
      </c>
      <c r="B1" s="53"/>
      <c r="C1" s="53"/>
      <c r="D1" s="53"/>
      <c r="E1" s="53"/>
      <c r="F1" s="53"/>
      <c r="G1" s="53"/>
    </row>
    <row r="2" spans="1:7" s="12" customFormat="1" ht="14.25" x14ac:dyDescent="0.2">
      <c r="A2" s="54" t="s">
        <v>1</v>
      </c>
      <c r="B2" s="54"/>
      <c r="C2" s="54"/>
      <c r="D2" s="54"/>
      <c r="E2" s="54"/>
      <c r="F2" s="54"/>
      <c r="G2" s="54"/>
    </row>
    <row r="3" spans="1:7" s="12" customFormat="1" ht="14.25" x14ac:dyDescent="0.2">
      <c r="A3" s="27"/>
      <c r="D3" s="13"/>
      <c r="E3" s="13"/>
      <c r="F3" s="13"/>
      <c r="G3" s="13"/>
    </row>
    <row r="4" spans="1:7" s="12" customFormat="1" ht="15.75" x14ac:dyDescent="0.25">
      <c r="A4" s="50" t="s">
        <v>155</v>
      </c>
      <c r="B4" s="50"/>
      <c r="C4" s="50"/>
      <c r="D4" s="50"/>
      <c r="E4" s="50"/>
      <c r="F4" s="50"/>
      <c r="G4" s="50"/>
    </row>
    <row r="5" spans="1:7" s="12" customFormat="1" ht="15.75" x14ac:dyDescent="0.25">
      <c r="A5" s="50" t="s">
        <v>132</v>
      </c>
      <c r="B5" s="50"/>
      <c r="C5" s="50"/>
      <c r="D5" s="50"/>
      <c r="E5" s="50"/>
      <c r="F5" s="50"/>
      <c r="G5" s="50"/>
    </row>
    <row r="6" spans="1:7" s="12" customFormat="1" ht="14.25" x14ac:dyDescent="0.2">
      <c r="A6" s="27"/>
      <c r="D6" s="13"/>
      <c r="E6" s="13"/>
      <c r="F6" s="13"/>
      <c r="G6" s="13"/>
    </row>
    <row r="7" spans="1:7" s="7" customFormat="1" x14ac:dyDescent="0.25">
      <c r="A7" s="7" t="s">
        <v>156</v>
      </c>
      <c r="D7" s="5">
        <v>44926</v>
      </c>
      <c r="E7" s="33" t="s">
        <v>4</v>
      </c>
      <c r="F7" s="5">
        <v>44561</v>
      </c>
      <c r="G7" s="33" t="s">
        <v>4</v>
      </c>
    </row>
    <row r="8" spans="1:7" s="27" customFormat="1" ht="14.25" x14ac:dyDescent="0.2">
      <c r="B8" s="27" t="s">
        <v>157</v>
      </c>
      <c r="D8" s="26">
        <f>'[1]balanço e dre '!F175</f>
        <v>51379026.299999997</v>
      </c>
      <c r="E8" s="34">
        <f>D8/D12*100</f>
        <v>83.523629305449433</v>
      </c>
      <c r="F8" s="26">
        <v>55552253.370000005</v>
      </c>
      <c r="G8" s="34">
        <v>87.947374617891995</v>
      </c>
    </row>
    <row r="9" spans="1:7" s="27" customFormat="1" ht="14.25" x14ac:dyDescent="0.2">
      <c r="B9" s="27" t="s">
        <v>158</v>
      </c>
      <c r="D9" s="26">
        <f>'[1]balanço e dre '!F211</f>
        <v>342546.86</v>
      </c>
      <c r="E9" s="34">
        <f>D9/D12*100</f>
        <v>0.55685673736455532</v>
      </c>
      <c r="F9" s="26">
        <v>61084.1</v>
      </c>
      <c r="G9" s="34">
        <v>0.26696038841543845</v>
      </c>
    </row>
    <row r="10" spans="1:7" s="27" customFormat="1" ht="14.25" x14ac:dyDescent="0.2">
      <c r="B10" s="27" t="s">
        <v>159</v>
      </c>
      <c r="D10" s="26">
        <f>'[1]balanço e dre '!F196</f>
        <v>9792787.1800000016</v>
      </c>
      <c r="E10" s="34">
        <f>D10/D12*100</f>
        <v>15.919513957186021</v>
      </c>
      <c r="F10" s="26">
        <v>5843162.4199999999</v>
      </c>
      <c r="G10" s="34">
        <v>11.785664993692571</v>
      </c>
    </row>
    <row r="11" spans="1:7" s="27" customFormat="1" ht="14.25" x14ac:dyDescent="0.2">
      <c r="D11" s="26"/>
      <c r="E11" s="34"/>
      <c r="F11" s="26"/>
      <c r="G11" s="34"/>
    </row>
    <row r="12" spans="1:7" s="7" customFormat="1" x14ac:dyDescent="0.25">
      <c r="A12" s="7" t="s">
        <v>160</v>
      </c>
      <c r="D12" s="25">
        <f>SUM(D8:D11)</f>
        <v>61514360.339999996</v>
      </c>
      <c r="E12" s="31">
        <f>D12/D12*100</f>
        <v>100</v>
      </c>
      <c r="F12" s="25">
        <v>61456499.890000008</v>
      </c>
      <c r="G12" s="31">
        <v>100</v>
      </c>
    </row>
    <row r="13" spans="1:7" s="27" customFormat="1" ht="14.25" x14ac:dyDescent="0.2">
      <c r="D13" s="26"/>
      <c r="E13" s="34"/>
      <c r="F13" s="26"/>
      <c r="G13" s="34"/>
    </row>
    <row r="14" spans="1:7" s="7" customFormat="1" x14ac:dyDescent="0.25">
      <c r="A14" s="7" t="s">
        <v>161</v>
      </c>
      <c r="D14" s="25"/>
      <c r="E14" s="31"/>
      <c r="F14" s="25"/>
      <c r="G14" s="31"/>
    </row>
    <row r="15" spans="1:7" s="27" customFormat="1" ht="14.25" x14ac:dyDescent="0.2">
      <c r="B15" s="27" t="s">
        <v>162</v>
      </c>
      <c r="D15" s="26">
        <f>'[1]balanço e dre '!F183+'[1]balanço e dre '!F184</f>
        <v>14728830.880000001</v>
      </c>
      <c r="E15" s="34">
        <f>D15/D20*100</f>
        <v>39.026381815626308</v>
      </c>
      <c r="F15" s="26">
        <v>15907986.719999999</v>
      </c>
      <c r="G15" s="34">
        <v>38.131472203213249</v>
      </c>
    </row>
    <row r="16" spans="1:7" s="27" customFormat="1" ht="14.25" x14ac:dyDescent="0.2">
      <c r="B16" s="27" t="s">
        <v>163</v>
      </c>
      <c r="D16" s="26">
        <f>'[1]balanço e dre '!F180</f>
        <v>18823706.289999999</v>
      </c>
      <c r="E16" s="34">
        <f>D16/D$20*100</f>
        <v>49.876405998813837</v>
      </c>
      <c r="F16" s="26">
        <v>18527605.199999999</v>
      </c>
      <c r="G16" s="34">
        <v>51.737184663222344</v>
      </c>
    </row>
    <row r="17" spans="1:10" s="27" customFormat="1" ht="14.25" x14ac:dyDescent="0.2">
      <c r="B17" s="27" t="s">
        <v>164</v>
      </c>
      <c r="D17" s="26">
        <f>'[1]balanço e dre '!F185+'[1]balanço e dre '!F186-D26</f>
        <v>4075510.2699999996</v>
      </c>
      <c r="E17" s="34">
        <f>D17/D$20*100</f>
        <v>10.798713162393664</v>
      </c>
      <c r="F17" s="26">
        <v>3714294.36</v>
      </c>
      <c r="G17" s="34">
        <v>10.122307732575814</v>
      </c>
    </row>
    <row r="18" spans="1:10" s="27" customFormat="1" ht="14.25" x14ac:dyDescent="0.2">
      <c r="B18" s="27" t="s">
        <v>165</v>
      </c>
      <c r="D18" s="26">
        <f>'[1]balanço e dre '!F205</f>
        <v>112655.63</v>
      </c>
      <c r="E18" s="34">
        <f>D18/D$20*100</f>
        <v>0.29849902316618399</v>
      </c>
      <c r="F18" s="26">
        <v>0</v>
      </c>
      <c r="G18" s="34">
        <v>9.0354009886073963E-3</v>
      </c>
    </row>
    <row r="19" spans="1:10" s="27" customFormat="1" ht="14.25" x14ac:dyDescent="0.2">
      <c r="D19" s="26"/>
      <c r="E19" s="34"/>
      <c r="F19" s="26"/>
      <c r="G19" s="34"/>
    </row>
    <row r="20" spans="1:10" s="7" customFormat="1" x14ac:dyDescent="0.25">
      <c r="A20" s="7" t="s">
        <v>166</v>
      </c>
      <c r="D20" s="25">
        <f>SUM(D15:D18)</f>
        <v>37740703.07</v>
      </c>
      <c r="E20" s="31">
        <f>D20/D20*100</f>
        <v>100</v>
      </c>
      <c r="F20" s="25">
        <v>38149886.280000001</v>
      </c>
      <c r="G20" s="31">
        <v>100</v>
      </c>
    </row>
    <row r="21" spans="1:10" s="27" customFormat="1" ht="14.25" x14ac:dyDescent="0.2">
      <c r="D21" s="26"/>
      <c r="E21" s="34"/>
      <c r="F21" s="26"/>
      <c r="G21" s="34"/>
    </row>
    <row r="22" spans="1:10" s="27" customFormat="1" x14ac:dyDescent="0.25">
      <c r="A22" s="7" t="s">
        <v>167</v>
      </c>
      <c r="B22" s="7"/>
      <c r="C22" s="7"/>
      <c r="D22" s="25">
        <f>D12-D20</f>
        <v>23773657.269999996</v>
      </c>
      <c r="E22" s="31"/>
      <c r="F22" s="25">
        <v>23306613.610000007</v>
      </c>
      <c r="G22" s="31"/>
      <c r="J22" s="72"/>
    </row>
    <row r="23" spans="1:10" s="27" customFormat="1" ht="14.25" x14ac:dyDescent="0.2">
      <c r="D23" s="26"/>
      <c r="E23" s="34"/>
      <c r="F23" s="26"/>
      <c r="G23" s="34"/>
    </row>
    <row r="24" spans="1:10" s="7" customFormat="1" x14ac:dyDescent="0.25">
      <c r="A24" s="7" t="s">
        <v>168</v>
      </c>
      <c r="J24" s="61"/>
    </row>
    <row r="25" spans="1:10" s="27" customFormat="1" ht="14.25" x14ac:dyDescent="0.2">
      <c r="B25" s="27" t="s">
        <v>169</v>
      </c>
      <c r="D25" s="26">
        <f>'[1]balanço e dre '!F177</f>
        <v>23743570.850000001</v>
      </c>
      <c r="E25" s="34">
        <f>D25/D12*100</f>
        <v>38.598419488986593</v>
      </c>
      <c r="F25" s="26">
        <v>20989366.100000001</v>
      </c>
      <c r="G25" s="34">
        <v>34.845982557973144</v>
      </c>
    </row>
    <row r="26" spans="1:10" s="27" customFormat="1" ht="14.25" x14ac:dyDescent="0.2">
      <c r="B26" s="27" t="s">
        <v>170</v>
      </c>
      <c r="D26" s="26">
        <f>'[1]balanço e dre '!F192</f>
        <v>17526.14</v>
      </c>
      <c r="E26" s="34">
        <f>D26/D12*100</f>
        <v>2.849113589596013E-2</v>
      </c>
      <c r="F26" s="26">
        <v>15965.02</v>
      </c>
      <c r="G26" s="34">
        <v>2.3172619103346677E-2</v>
      </c>
    </row>
    <row r="27" spans="1:10" s="27" customFormat="1" ht="14.25" x14ac:dyDescent="0.2">
      <c r="B27" s="27" t="s">
        <v>171</v>
      </c>
      <c r="D27" s="26">
        <f>'[1]balanço e dre '!F207</f>
        <v>3070142.36</v>
      </c>
      <c r="E27" s="34">
        <f>D27/D12*100</f>
        <v>4.9909360075124214</v>
      </c>
      <c r="F27" s="26">
        <v>2238953.88</v>
      </c>
      <c r="G27" s="34">
        <v>5.6268167377123071</v>
      </c>
    </row>
    <row r="28" spans="1:10" s="27" customFormat="1" ht="14.25" x14ac:dyDescent="0.2">
      <c r="B28" s="27" t="s">
        <v>172</v>
      </c>
      <c r="D28" s="26">
        <f>'[1]balanço e dre '!F212</f>
        <v>-3057582.0800000005</v>
      </c>
      <c r="E28" s="34">
        <f>D28/D12*100</f>
        <v>-4.9705175557385965</v>
      </c>
      <c r="F28" s="26">
        <v>62328.610000013745</v>
      </c>
      <c r="G28" s="34">
        <v>0.39767114399429848</v>
      </c>
    </row>
    <row r="29" spans="1:10" s="27" customFormat="1" ht="14.25" x14ac:dyDescent="0.2">
      <c r="D29" s="26"/>
      <c r="E29" s="26"/>
      <c r="F29" s="26"/>
      <c r="G29" s="26"/>
    </row>
    <row r="30" spans="1:10" s="27" customFormat="1" x14ac:dyDescent="0.25">
      <c r="A30" s="7" t="s">
        <v>173</v>
      </c>
      <c r="D30" s="25">
        <f>SUM(D25:D28)</f>
        <v>23773657.27</v>
      </c>
      <c r="E30" s="31">
        <f>D30/D12*100</f>
        <v>38.647329076656384</v>
      </c>
      <c r="F30" s="25">
        <v>23306613.610000014</v>
      </c>
      <c r="G30" s="31">
        <v>40.893643058783091</v>
      </c>
    </row>
    <row r="31" spans="1:10" s="27" customFormat="1" ht="14.25" x14ac:dyDescent="0.2">
      <c r="D31" s="26"/>
      <c r="E31" s="26"/>
      <c r="F31" s="26"/>
      <c r="G31" s="26"/>
    </row>
    <row r="32" spans="1:10" s="27" customFormat="1" ht="14.25" x14ac:dyDescent="0.2">
      <c r="D32" s="26"/>
      <c r="E32" s="26"/>
      <c r="F32" s="26"/>
      <c r="G32" s="26"/>
    </row>
    <row r="33" spans="1:7" s="27" customFormat="1" ht="14.25" x14ac:dyDescent="0.2">
      <c r="D33" s="26"/>
      <c r="E33" s="26"/>
      <c r="F33" s="26"/>
      <c r="G33" s="26"/>
    </row>
    <row r="34" spans="1:7" s="27" customFormat="1" ht="14.25" x14ac:dyDescent="0.2">
      <c r="A34" s="54" t="str">
        <f>'[1]fluxo de caixa'!A52:M52</f>
        <v>Carazinho, 31 de dezembro de 2.022</v>
      </c>
      <c r="B34" s="54"/>
      <c r="C34" s="54"/>
      <c r="D34" s="54"/>
      <c r="E34" s="54"/>
      <c r="F34" s="54"/>
      <c r="G34" s="54"/>
    </row>
    <row r="35" spans="1:7" s="27" customFormat="1" ht="14.25" x14ac:dyDescent="0.2"/>
    <row r="36" spans="1:7" s="27" customFormat="1" ht="14.25" x14ac:dyDescent="0.2"/>
    <row r="37" spans="1:7" s="27" customFormat="1" ht="14.25" x14ac:dyDescent="0.2">
      <c r="B37" s="2" t="s">
        <v>186</v>
      </c>
      <c r="C37" s="2"/>
      <c r="D37" s="12"/>
      <c r="E37" s="52" t="s">
        <v>58</v>
      </c>
      <c r="F37" s="52"/>
    </row>
    <row r="38" spans="1:7" s="27" customFormat="1" ht="14.25" x14ac:dyDescent="0.2">
      <c r="B38" s="2" t="s">
        <v>187</v>
      </c>
      <c r="C38" s="2"/>
      <c r="D38" s="12"/>
      <c r="E38" s="52" t="s">
        <v>59</v>
      </c>
      <c r="F38" s="52"/>
    </row>
    <row r="39" spans="1:7" s="27" customFormat="1" ht="14.25" x14ac:dyDescent="0.2">
      <c r="B39" s="24" t="s">
        <v>188</v>
      </c>
      <c r="C39" s="24"/>
      <c r="D39" s="12"/>
      <c r="E39" s="52" t="s">
        <v>60</v>
      </c>
      <c r="F39" s="52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H24"/>
  <sheetViews>
    <sheetView workbookViewId="0">
      <selection sqref="A1:XFD24"/>
    </sheetView>
  </sheetViews>
  <sheetFormatPr defaultRowHeight="15" x14ac:dyDescent="0.25"/>
  <cols>
    <col min="1" max="1" width="32.140625" bestFit="1" customWidth="1"/>
    <col min="2" max="2" width="14.85546875" bestFit="1" customWidth="1"/>
    <col min="3" max="3" width="16.7109375" bestFit="1" customWidth="1"/>
    <col min="4" max="4" width="22.42578125" bestFit="1" customWidth="1"/>
    <col min="5" max="5" width="14.5703125" bestFit="1" customWidth="1"/>
  </cols>
  <sheetData>
    <row r="1" spans="1:8" s="12" customFormat="1" ht="18" x14ac:dyDescent="0.25">
      <c r="A1" s="53" t="s">
        <v>0</v>
      </c>
      <c r="B1" s="53"/>
      <c r="C1" s="53"/>
      <c r="D1" s="53"/>
      <c r="E1" s="53"/>
      <c r="G1" s="13"/>
    </row>
    <row r="2" spans="1:8" s="12" customFormat="1" ht="14.25" x14ac:dyDescent="0.2">
      <c r="A2" s="54" t="s">
        <v>1</v>
      </c>
      <c r="B2" s="54"/>
      <c r="C2" s="54"/>
      <c r="D2" s="54"/>
      <c r="E2" s="54"/>
      <c r="G2" s="13"/>
    </row>
    <row r="3" spans="1:8" s="12" customFormat="1" ht="12.75" x14ac:dyDescent="0.2">
      <c r="G3" s="13"/>
    </row>
    <row r="4" spans="1:8" s="12" customFormat="1" ht="15.75" x14ac:dyDescent="0.25">
      <c r="A4" s="50" t="s">
        <v>174</v>
      </c>
      <c r="B4" s="50"/>
      <c r="C4" s="50"/>
      <c r="D4" s="50"/>
      <c r="E4" s="50"/>
      <c r="G4" s="13"/>
    </row>
    <row r="5" spans="1:8" s="12" customFormat="1" ht="12.75" x14ac:dyDescent="0.2">
      <c r="G5" s="13"/>
    </row>
    <row r="6" spans="1:8" s="12" customFormat="1" ht="13.5" thickBot="1" x14ac:dyDescent="0.25">
      <c r="G6" s="13"/>
    </row>
    <row r="7" spans="1:8" s="4" customFormat="1" x14ac:dyDescent="0.25">
      <c r="A7" s="35" t="s">
        <v>175</v>
      </c>
      <c r="B7" s="35" t="s">
        <v>176</v>
      </c>
      <c r="C7" s="35" t="s">
        <v>177</v>
      </c>
      <c r="D7" s="35" t="s">
        <v>178</v>
      </c>
      <c r="E7" s="35" t="s">
        <v>179</v>
      </c>
      <c r="G7" s="31"/>
    </row>
    <row r="8" spans="1:8" s="4" customFormat="1" ht="15.75" thickBot="1" x14ac:dyDescent="0.3">
      <c r="A8" s="36"/>
      <c r="B8" s="37" t="s">
        <v>180</v>
      </c>
      <c r="C8" s="37" t="s">
        <v>181</v>
      </c>
      <c r="D8" s="37" t="s">
        <v>182</v>
      </c>
      <c r="E8" s="37"/>
      <c r="G8" s="31"/>
    </row>
    <row r="9" spans="1:8" s="27" customFormat="1" x14ac:dyDescent="0.25">
      <c r="A9" s="38" t="s">
        <v>193</v>
      </c>
      <c r="B9" s="39">
        <f>'[1]balanço e dre '!H98</f>
        <v>1306718.3600000001</v>
      </c>
      <c r="C9" s="39">
        <v>0</v>
      </c>
      <c r="D9" s="39">
        <f>'[1]balanço e dre '!H99</f>
        <v>1477576.68</v>
      </c>
      <c r="E9" s="40">
        <f>SUM(B9:D9)</f>
        <v>2784295.04</v>
      </c>
      <c r="G9" s="26"/>
      <c r="H9" s="72"/>
    </row>
    <row r="10" spans="1:8" s="27" customFormat="1" ht="14.25" x14ac:dyDescent="0.2">
      <c r="A10" s="41" t="s">
        <v>194</v>
      </c>
      <c r="B10" s="42">
        <v>0</v>
      </c>
      <c r="C10" s="42">
        <v>0</v>
      </c>
      <c r="D10" s="42">
        <v>-718019.7</v>
      </c>
      <c r="E10" s="43"/>
      <c r="G10" s="26"/>
    </row>
    <row r="11" spans="1:8" s="27" customFormat="1" ht="14.25" x14ac:dyDescent="0.2">
      <c r="A11" s="41" t="s">
        <v>183</v>
      </c>
      <c r="B11" s="42">
        <v>0</v>
      </c>
      <c r="C11" s="42">
        <v>0</v>
      </c>
      <c r="D11" s="42">
        <f>'[1]balanço e dre '!F212</f>
        <v>-3057582.0800000005</v>
      </c>
      <c r="E11" s="43"/>
      <c r="F11" s="72"/>
      <c r="G11" s="26"/>
      <c r="H11" s="72"/>
    </row>
    <row r="12" spans="1:8" s="27" customFormat="1" ht="14.25" x14ac:dyDescent="0.2">
      <c r="A12" s="41"/>
      <c r="B12" s="42"/>
      <c r="C12" s="42"/>
      <c r="D12" s="42"/>
      <c r="E12" s="43"/>
      <c r="G12" s="26"/>
    </row>
    <row r="13" spans="1:8" s="7" customFormat="1" x14ac:dyDescent="0.25">
      <c r="A13" s="44" t="s">
        <v>195</v>
      </c>
      <c r="B13" s="45">
        <f>B9+C9</f>
        <v>1306718.3600000001</v>
      </c>
      <c r="C13" s="45">
        <v>0</v>
      </c>
      <c r="D13" s="45">
        <f>D9+D11+D10</f>
        <v>-2298025.1000000006</v>
      </c>
      <c r="E13" s="46">
        <f>SUM(B13:D13)</f>
        <v>-991306.74000000046</v>
      </c>
      <c r="G13" s="25"/>
    </row>
    <row r="14" spans="1:8" s="27" customFormat="1" thickBot="1" x14ac:dyDescent="0.25">
      <c r="A14" s="47"/>
      <c r="B14" s="48"/>
      <c r="C14" s="48"/>
      <c r="D14" s="48"/>
      <c r="E14" s="49"/>
      <c r="G14" s="26"/>
    </row>
    <row r="15" spans="1:8" s="27" customFormat="1" ht="14.25" x14ac:dyDescent="0.2">
      <c r="G15" s="26"/>
    </row>
    <row r="16" spans="1:8" s="27" customFormat="1" ht="14.25" x14ac:dyDescent="0.2">
      <c r="E16" s="32"/>
      <c r="G16" s="26"/>
    </row>
    <row r="17" spans="1:7" s="27" customFormat="1" ht="14.25" x14ac:dyDescent="0.2">
      <c r="D17" s="32"/>
      <c r="E17" s="32"/>
      <c r="G17" s="26"/>
    </row>
    <row r="18" spans="1:7" s="27" customFormat="1" ht="14.25" x14ac:dyDescent="0.2">
      <c r="E18" s="32"/>
      <c r="G18" s="26"/>
    </row>
    <row r="19" spans="1:7" s="27" customFormat="1" ht="14.25" x14ac:dyDescent="0.2">
      <c r="A19" s="54" t="str">
        <f>'[1]valor adicionado'!A34:G34</f>
        <v>Carazinho, 31 de dezembro de 2.022</v>
      </c>
      <c r="B19" s="54"/>
      <c r="C19" s="54"/>
      <c r="D19" s="54"/>
      <c r="E19" s="54"/>
      <c r="G19" s="26"/>
    </row>
    <row r="20" spans="1:7" s="27" customFormat="1" x14ac:dyDescent="0.25">
      <c r="G20" s="31"/>
    </row>
    <row r="21" spans="1:7" s="27" customFormat="1" x14ac:dyDescent="0.25">
      <c r="G21" s="31"/>
    </row>
    <row r="22" spans="1:7" s="27" customFormat="1" ht="14.25" x14ac:dyDescent="0.2">
      <c r="A22" s="2" t="s">
        <v>186</v>
      </c>
      <c r="B22" s="2"/>
      <c r="C22" s="12"/>
      <c r="D22" s="52" t="s">
        <v>58</v>
      </c>
      <c r="E22" s="52"/>
      <c r="G22" s="26"/>
    </row>
    <row r="23" spans="1:7" s="27" customFormat="1" ht="14.25" x14ac:dyDescent="0.2">
      <c r="A23" s="2" t="s">
        <v>187</v>
      </c>
      <c r="B23" s="2"/>
      <c r="C23" s="12"/>
      <c r="D23" s="52" t="s">
        <v>59</v>
      </c>
      <c r="E23" s="52"/>
      <c r="G23" s="26"/>
    </row>
    <row r="24" spans="1:7" s="27" customFormat="1" ht="14.25" x14ac:dyDescent="0.2">
      <c r="A24" s="24" t="s">
        <v>188</v>
      </c>
      <c r="B24" s="24"/>
      <c r="C24" s="12"/>
      <c r="D24" s="52" t="s">
        <v>60</v>
      </c>
      <c r="E24" s="52"/>
      <c r="G24" s="26"/>
    </row>
  </sheetData>
  <mergeCells count="7">
    <mergeCell ref="D24:E24"/>
    <mergeCell ref="A1:E1"/>
    <mergeCell ref="A2:E2"/>
    <mergeCell ref="A4:E4"/>
    <mergeCell ref="A19:E19"/>
    <mergeCell ref="D22:E22"/>
    <mergeCell ref="D23:E2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2026-03-30T20:30:42Z</dcterms:modified>
</cp:coreProperties>
</file>